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4 (2)" sheetId="9" r:id="rId1"/>
    <sheet name="main" sheetId="1" r:id="rId2"/>
    <sheet name="utility" sheetId="2" r:id="rId3"/>
    <sheet name="Sheet3" sheetId="3" r:id="rId4"/>
    <sheet name="Sheet2" sheetId="4" r:id="rId5"/>
    <sheet name="da rt" sheetId="6" r:id="rId6"/>
    <sheet name="Sheet1" sheetId="7" r:id="rId7"/>
    <sheet name="gpf rate" sheetId="8" r:id="rId8"/>
  </sheets>
  <externalReferences>
    <externalReference r:id="rId9"/>
    <externalReference r:id="rId10"/>
  </externalReferences>
  <definedNames>
    <definedName name="_xlnm.Print_Area" localSheetId="0">'Sheet4 (2)'!$A$1:$O$59</definedName>
    <definedName name="_xlnm.Print_Titles" localSheetId="0">'Sheet4 (2)'!$2:$5</definedName>
  </definedNames>
  <calcPr calcId="124519"/>
</workbook>
</file>

<file path=xl/calcChain.xml><?xml version="1.0" encoding="utf-8"?>
<calcChain xmlns="http://schemas.openxmlformats.org/spreadsheetml/2006/main">
  <c r="C12" i="1"/>
  <c r="D12" s="1"/>
  <c r="D11"/>
  <c r="C11"/>
  <c r="G8"/>
  <c r="G7"/>
  <c r="G6"/>
  <c r="C13" l="1"/>
  <c r="H73" i="2" l="1"/>
  <c r="J73" s="1"/>
  <c r="I73"/>
  <c r="K73"/>
  <c r="D9" i="1"/>
  <c r="D10" s="1"/>
  <c r="A47"/>
  <c r="A45"/>
  <c r="A44"/>
  <c r="A43"/>
  <c r="N53" i="9"/>
  <c r="N52"/>
  <c r="O52" s="1"/>
  <c r="H58" s="1"/>
  <c r="G46"/>
  <c r="N47" s="1"/>
  <c r="F46"/>
  <c r="E46"/>
  <c r="D37"/>
  <c r="D38" s="1"/>
  <c r="D39" s="1"/>
  <c r="D31"/>
  <c r="D32" s="1"/>
  <c r="D33" s="1"/>
  <c r="D34" s="1"/>
  <c r="D35" s="1"/>
  <c r="D25"/>
  <c r="D26" s="1"/>
  <c r="D27" s="1"/>
  <c r="D28" s="1"/>
  <c r="D29" s="1"/>
  <c r="D19"/>
  <c r="D20" s="1"/>
  <c r="D21" s="1"/>
  <c r="D22" s="1"/>
  <c r="D23" s="1"/>
  <c r="R16"/>
  <c r="D13"/>
  <c r="D14" s="1"/>
  <c r="D15" s="1"/>
  <c r="D16" s="1"/>
  <c r="D17" s="1"/>
  <c r="H12"/>
  <c r="K11"/>
  <c r="I11"/>
  <c r="H11"/>
  <c r="F1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D11"/>
  <c r="C11"/>
  <c r="E11" s="1"/>
  <c r="M10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K10"/>
  <c r="I10"/>
  <c r="E10"/>
  <c r="G10" s="1"/>
  <c r="L10" s="1"/>
  <c r="N10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C25" i="8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G11" i="9" l="1"/>
  <c r="L11" s="1"/>
  <c r="N11" s="1"/>
  <c r="C12"/>
  <c r="I12"/>
  <c r="K12" s="1"/>
  <c r="H13"/>
  <c r="N46"/>
  <c r="O46" s="1"/>
  <c r="H57" s="1"/>
  <c r="G12" i="7"/>
  <c r="G9"/>
  <c r="H14" i="9" l="1"/>
  <c r="I13"/>
  <c r="K13" s="1"/>
  <c r="C13"/>
  <c r="E12"/>
  <c r="G12" s="1"/>
  <c r="L12" s="1"/>
  <c r="N12" s="1"/>
  <c r="I8" i="3"/>
  <c r="H15"/>
  <c r="H16"/>
  <c r="H14"/>
  <c r="C14"/>
  <c r="C11"/>
  <c r="C4" i="2"/>
  <c r="C5" s="1"/>
  <c r="K14" i="9" l="1"/>
  <c r="H15"/>
  <c r="I14"/>
  <c r="C14"/>
  <c r="G13"/>
  <c r="L13" s="1"/>
  <c r="N13" s="1"/>
  <c r="E13"/>
  <c r="H17" i="3"/>
  <c r="K15" i="9" l="1"/>
  <c r="H16"/>
  <c r="I15"/>
  <c r="E14"/>
  <c r="G14" s="1"/>
  <c r="L14" s="1"/>
  <c r="N14" s="1"/>
  <c r="C15"/>
  <c r="C16" l="1"/>
  <c r="G15"/>
  <c r="L15" s="1"/>
  <c r="N15" s="1"/>
  <c r="E15"/>
  <c r="H17"/>
  <c r="I16"/>
  <c r="K16" s="1"/>
  <c r="I17" l="1"/>
  <c r="K17"/>
  <c r="H18"/>
  <c r="C17"/>
  <c r="E16"/>
  <c r="G16"/>
  <c r="L16" s="1"/>
  <c r="N16" s="1"/>
  <c r="K18" l="1"/>
  <c r="H19"/>
  <c r="I18"/>
  <c r="E17"/>
  <c r="C18"/>
  <c r="G17"/>
  <c r="L17" s="1"/>
  <c r="N17" s="1"/>
  <c r="C19" l="1"/>
  <c r="E18"/>
  <c r="G18" s="1"/>
  <c r="L18" s="1"/>
  <c r="N18" s="1"/>
  <c r="H20"/>
  <c r="I19"/>
  <c r="K19" s="1"/>
  <c r="K20" l="1"/>
  <c r="H21"/>
  <c r="I20"/>
  <c r="C20"/>
  <c r="G19"/>
  <c r="L19" s="1"/>
  <c r="N19" s="1"/>
  <c r="E19"/>
  <c r="K21" l="1"/>
  <c r="H22"/>
  <c r="I21"/>
  <c r="C21"/>
  <c r="G20"/>
  <c r="L20" s="1"/>
  <c r="N20" s="1"/>
  <c r="E20"/>
  <c r="K22" l="1"/>
  <c r="H23"/>
  <c r="I22"/>
  <c r="C22"/>
  <c r="G21"/>
  <c r="L21" s="1"/>
  <c r="N21" s="1"/>
  <c r="E21"/>
  <c r="K23" l="1"/>
  <c r="H24"/>
  <c r="I23"/>
  <c r="C23"/>
  <c r="G22"/>
  <c r="L22" s="1"/>
  <c r="N22" s="1"/>
  <c r="E22"/>
  <c r="H25" l="1"/>
  <c r="I24"/>
  <c r="K24" s="1"/>
  <c r="C24"/>
  <c r="G23"/>
  <c r="L23" s="1"/>
  <c r="N23" s="1"/>
  <c r="E23"/>
  <c r="H26" l="1"/>
  <c r="I25"/>
  <c r="K25" s="1"/>
  <c r="C25"/>
  <c r="G24"/>
  <c r="L24" s="1"/>
  <c r="N24" s="1"/>
  <c r="E24"/>
  <c r="H27" l="1"/>
  <c r="I26"/>
  <c r="K26" s="1"/>
  <c r="C26"/>
  <c r="G25"/>
  <c r="L25" s="1"/>
  <c r="N25" s="1"/>
  <c r="E25"/>
  <c r="H28" l="1"/>
  <c r="I27"/>
  <c r="K27" s="1"/>
  <c r="C27"/>
  <c r="G26"/>
  <c r="L26" s="1"/>
  <c r="N26" s="1"/>
  <c r="E26"/>
  <c r="H29" l="1"/>
  <c r="I28"/>
  <c r="K28" s="1"/>
  <c r="C28"/>
  <c r="G27"/>
  <c r="L27" s="1"/>
  <c r="N27" s="1"/>
  <c r="E27"/>
  <c r="H30" l="1"/>
  <c r="I29"/>
  <c r="K29" s="1"/>
  <c r="C29"/>
  <c r="G28"/>
  <c r="L28" s="1"/>
  <c r="N28" s="1"/>
  <c r="E28"/>
  <c r="H31" l="1"/>
  <c r="I30"/>
  <c r="K30" s="1"/>
  <c r="C30"/>
  <c r="G29"/>
  <c r="L29" s="1"/>
  <c r="N29" s="1"/>
  <c r="E29"/>
  <c r="H32" l="1"/>
  <c r="I31"/>
  <c r="K31" s="1"/>
  <c r="E30"/>
  <c r="C31"/>
  <c r="G30"/>
  <c r="L30" s="1"/>
  <c r="N30" s="1"/>
  <c r="E31" l="1"/>
  <c r="G31" s="1"/>
  <c r="L31" s="1"/>
  <c r="N31" s="1"/>
  <c r="C32"/>
  <c r="H33"/>
  <c r="I32"/>
  <c r="K32" s="1"/>
  <c r="E32" l="1"/>
  <c r="G32" s="1"/>
  <c r="L32" s="1"/>
  <c r="N32" s="1"/>
  <c r="C33"/>
  <c r="H34"/>
  <c r="I33"/>
  <c r="K33" s="1"/>
  <c r="E33" l="1"/>
  <c r="G33" s="1"/>
  <c r="L33" s="1"/>
  <c r="N33" s="1"/>
  <c r="C34"/>
  <c r="H35"/>
  <c r="I34"/>
  <c r="K34" s="1"/>
  <c r="E34" l="1"/>
  <c r="G34" s="1"/>
  <c r="L34" s="1"/>
  <c r="N34" s="1"/>
  <c r="C35"/>
  <c r="I35"/>
  <c r="K35"/>
  <c r="H36"/>
  <c r="I36" l="1"/>
  <c r="K36" s="1"/>
  <c r="H37"/>
  <c r="E35"/>
  <c r="C36"/>
  <c r="G35"/>
  <c r="L35" s="1"/>
  <c r="N35" s="1"/>
  <c r="E36" l="1"/>
  <c r="G36" s="1"/>
  <c r="L36" s="1"/>
  <c r="N36" s="1"/>
  <c r="C37"/>
  <c r="I37"/>
  <c r="K37"/>
  <c r="H38"/>
  <c r="I38" l="1"/>
  <c r="K38" s="1"/>
  <c r="H39"/>
  <c r="E37"/>
  <c r="C38"/>
  <c r="G37"/>
  <c r="L37" s="1"/>
  <c r="N37" s="1"/>
  <c r="E38" l="1"/>
  <c r="G38" s="1"/>
  <c r="L38" s="1"/>
  <c r="N38" s="1"/>
  <c r="C39"/>
  <c r="I39"/>
  <c r="K39"/>
  <c r="E39" l="1"/>
  <c r="G39" s="1"/>
  <c r="L39" s="1"/>
  <c r="N39" l="1"/>
  <c r="N40" s="1"/>
  <c r="H56" s="1"/>
  <c r="H59" s="1"/>
  <c r="S39"/>
  <c r="I6" i="3" l="1"/>
  <c r="I5"/>
  <c r="I4"/>
  <c r="C9" l="1"/>
  <c r="D5" i="1"/>
  <c r="D4" s="1"/>
  <c r="I32" s="1"/>
  <c r="D9" i="3" l="1"/>
  <c r="D6" i="1"/>
  <c r="B11" s="1"/>
  <c r="E4"/>
  <c r="E6" l="1"/>
  <c r="E8"/>
  <c r="E9" s="1"/>
  <c r="E10" s="1"/>
  <c r="I33" l="1"/>
  <c r="I34" s="1"/>
</calcChain>
</file>

<file path=xl/sharedStrings.xml><?xml version="1.0" encoding="utf-8"?>
<sst xmlns="http://schemas.openxmlformats.org/spreadsheetml/2006/main" count="229" uniqueCount="166">
  <si>
    <t>Date of Retirement</t>
  </si>
  <si>
    <t>16CCA inquiry served</t>
  </si>
  <si>
    <t>16CCA inquiry dropped</t>
  </si>
  <si>
    <t xml:space="preserve">Pension Case Sent </t>
  </si>
  <si>
    <t>Pension Authority issued</t>
  </si>
  <si>
    <t>Pension/Gratuity payment</t>
  </si>
  <si>
    <t>Pension benefits due</t>
  </si>
  <si>
    <t>Delay in days (6-7)</t>
  </si>
  <si>
    <t>Rate of Intrest</t>
  </si>
  <si>
    <t>Gratuity Amt</t>
  </si>
  <si>
    <t>D.A. Amt</t>
  </si>
  <si>
    <t>Period</t>
  </si>
  <si>
    <t>Intrest on Graty.</t>
  </si>
  <si>
    <t>Intrest on Pension</t>
  </si>
  <si>
    <t>Total Intrest (11+12)</t>
  </si>
  <si>
    <t>Date</t>
  </si>
  <si>
    <t>Detail</t>
  </si>
  <si>
    <t>S.N.</t>
  </si>
  <si>
    <t>Calculation on intrest on Pension</t>
  </si>
  <si>
    <t>Total</t>
  </si>
  <si>
    <t>Note-</t>
  </si>
  <si>
    <t>The above calculation is based on folowing assumtion/data</t>
  </si>
  <si>
    <t>Calculation period count from 01-11-2009 to Aug. 2011 (viz. acutal /first payment dated 16-9-11 as per PPO)</t>
  </si>
  <si>
    <t>For view/determination actual calculation, it is essestional to match pensioner bank statement with Treasury data</t>
  </si>
  <si>
    <t>Delay in days based on month difference and as calculated</t>
  </si>
  <si>
    <t>Year</t>
  </si>
  <si>
    <t>Months</t>
  </si>
  <si>
    <t>Days</t>
  </si>
  <si>
    <t>Date of Birth</t>
  </si>
  <si>
    <t>Current Date</t>
  </si>
  <si>
    <t>Years</t>
  </si>
  <si>
    <t>In Words</t>
  </si>
  <si>
    <t>Periods</t>
  </si>
  <si>
    <t>DA Rate</t>
  </si>
  <si>
    <t>Start Period</t>
  </si>
  <si>
    <t>End Period</t>
  </si>
  <si>
    <t>V PAY</t>
  </si>
  <si>
    <t>VI PAY</t>
  </si>
  <si>
    <t>VII PAY</t>
  </si>
  <si>
    <t xml:space="preserve">Jan-2007  to June-2007 </t>
  </si>
  <si>
    <t xml:space="preserve">July-2007  to Dec-2007 </t>
  </si>
  <si>
    <t xml:space="preserve">Jan-2008  to June-2008 </t>
  </si>
  <si>
    <t xml:space="preserve">July-2008  to Dec-2008 </t>
  </si>
  <si>
    <t xml:space="preserve">Jan-2009  to June-2009 </t>
  </si>
  <si>
    <t xml:space="preserve">July-2009  to Dec-2009 </t>
  </si>
  <si>
    <t xml:space="preserve">Jan-2010  to June-2010 </t>
  </si>
  <si>
    <t xml:space="preserve">July-2010  to Dec-2010 </t>
  </si>
  <si>
    <t xml:space="preserve">Jan-2011  to June-2011 </t>
  </si>
  <si>
    <t xml:space="preserve">July-2011  to Dec-2011 </t>
  </si>
  <si>
    <t xml:space="preserve">Jan-2012  to June-2012 </t>
  </si>
  <si>
    <t xml:space="preserve">July-2012  to Dec-2012 </t>
  </si>
  <si>
    <t xml:space="preserve">Jan-2013  to June-2013 </t>
  </si>
  <si>
    <t xml:space="preserve">July-2013  to Dec-2013 </t>
  </si>
  <si>
    <t xml:space="preserve">Jan-2014  to June-2014 </t>
  </si>
  <si>
    <t xml:space="preserve">July-2014  to Dec-2014 </t>
  </si>
  <si>
    <t xml:space="preserve">Jan-2015  to June-2015 </t>
  </si>
  <si>
    <t xml:space="preserve">July-2015  to Dec-2015 </t>
  </si>
  <si>
    <t xml:space="preserve">Jan-2016  to June-2016 </t>
  </si>
  <si>
    <t xml:space="preserve">July-2016  to Dec-2016 </t>
  </si>
  <si>
    <t xml:space="preserve">Jan-2017  to June-2017 </t>
  </si>
  <si>
    <t xml:space="preserve">July-2017  to Dec-2017 </t>
  </si>
  <si>
    <t xml:space="preserve">Jan-2018  to June-2018 </t>
  </si>
  <si>
    <t xml:space="preserve">July-2018  to Dec-2018 </t>
  </si>
  <si>
    <t xml:space="preserve">Jan-2019  to June-2019 </t>
  </si>
  <si>
    <t xml:space="preserve">July-2019  to Dec-2019 </t>
  </si>
  <si>
    <t xml:space="preserve">Jan-2020  to June-2020 </t>
  </si>
  <si>
    <t xml:space="preserve">July-2020  to Dec-2020 </t>
  </si>
  <si>
    <t xml:space="preserve">Jan-2021  to June-2021 </t>
  </si>
  <si>
    <t xml:space="preserve">July-2021  to Dec-2021 </t>
  </si>
  <si>
    <t xml:space="preserve">Jan-2022  to June-2022 </t>
  </si>
  <si>
    <t xml:space="preserve">July-2022  to Dec-2022 </t>
  </si>
  <si>
    <t>Intrest start from-</t>
  </si>
  <si>
    <t>Old pension</t>
  </si>
  <si>
    <t>Revised pension</t>
  </si>
  <si>
    <t>D.R. Rate</t>
  </si>
  <si>
    <t>D.R. amount</t>
  </si>
  <si>
    <t>Commutation</t>
  </si>
  <si>
    <t>Due Pension</t>
  </si>
  <si>
    <t>Drawn Pension</t>
  </si>
  <si>
    <t>Diff. Amt</t>
  </si>
  <si>
    <t>V pay</t>
  </si>
  <si>
    <t>VI pay</t>
  </si>
  <si>
    <t>VII pay</t>
  </si>
  <si>
    <t>PPO NO</t>
  </si>
  <si>
    <t>Excluded period</t>
  </si>
  <si>
    <t>Net effective days</t>
  </si>
  <si>
    <t>dk;kZy; funs'kd] ek/;fed f'k{kk] jkt- chdkusj</t>
  </si>
  <si>
    <t>lsokfuo`fr frfFk</t>
  </si>
  <si>
    <t>xzsP;wVh ns; vof/k</t>
  </si>
  <si>
    <t>xzsP;wVh Hkqxrku frfFk</t>
  </si>
  <si>
    <t>foyEc vof/k ¼ekg esa½</t>
  </si>
  <si>
    <t>C;kt nj</t>
  </si>
  <si>
    <t>Hkqxrku dh xbZ xzsP;wVh jkf'k</t>
  </si>
  <si>
    <t>foyEc vof/k gsrq xzsP;wVh ij C;kt jkf'k</t>
  </si>
  <si>
    <t>;kfpdk la[;k 1232@14 ds ifjis{; esa Jh --------------- dks xzsP;wVh ,fj;j ij C;kt dh x.kuk fooj.k</t>
  </si>
  <si>
    <t xml:space="preserve">Jan-2023  to June-2023 </t>
  </si>
  <si>
    <t xml:space="preserve">July-2023  to Dec-2023 </t>
  </si>
  <si>
    <t xml:space="preserve">Jan-2024  to June-2024 </t>
  </si>
  <si>
    <t xml:space="preserve">July-2024  to Dec-2024 </t>
  </si>
  <si>
    <t>Rate</t>
  </si>
  <si>
    <t>Bonus</t>
  </si>
  <si>
    <t>606XXX</t>
  </si>
  <si>
    <t>Commissioner, Colonisation Department, Bikaner</t>
  </si>
  <si>
    <t>Calculation of Interest on Pension ,Gratuity and Leave Encashment of Mohammed Umer</t>
  </si>
  <si>
    <t xml:space="preserve">Name </t>
  </si>
  <si>
    <t>Applied Interest rate for</t>
  </si>
  <si>
    <t>Payable date upto</t>
  </si>
  <si>
    <t>Pension &amp; Leave Encashment</t>
  </si>
  <si>
    <t>GPO NO</t>
  </si>
  <si>
    <t>Calculation Period</t>
  </si>
  <si>
    <t>From 01-11-2008 to 21-04-2011</t>
  </si>
  <si>
    <t>Gratuity ( GPF interest rate)</t>
  </si>
  <si>
    <t xml:space="preserve">(A) Calculation on Interest on Pension </t>
  </si>
  <si>
    <t xml:space="preserve">Due </t>
  </si>
  <si>
    <t>Drawn</t>
  </si>
  <si>
    <t>Delay Period</t>
  </si>
  <si>
    <t>Interest 
(in Rs.)</t>
  </si>
  <si>
    <t>Remark 
(delay period)</t>
  </si>
  <si>
    <t xml:space="preserve"> Penion</t>
  </si>
  <si>
    <t xml:space="preserve"> Pension</t>
  </si>
  <si>
    <t>D.R. Amt</t>
  </si>
  <si>
    <t>7(3+5-6)</t>
  </si>
  <si>
    <t>11(8+9-10)</t>
  </si>
  <si>
    <t>12 (7-11)</t>
  </si>
  <si>
    <t>In months</t>
  </si>
  <si>
    <t xml:space="preserve"> (21 days)</t>
  </si>
  <si>
    <t xml:space="preserve">(B) Calculation on Interest on Gratuity </t>
  </si>
  <si>
    <t>Last Pay</t>
  </si>
  <si>
    <t>D. A Rate</t>
  </si>
  <si>
    <t>Gross Amt</t>
  </si>
  <si>
    <t>Grautity Amount</t>
  </si>
  <si>
    <t>Interest Rate</t>
  </si>
  <si>
    <t>Interest Amount</t>
  </si>
  <si>
    <t>Total period</t>
  </si>
  <si>
    <t>Month/Days</t>
  </si>
  <si>
    <t>Amt.</t>
  </si>
  <si>
    <t>Total Amt.</t>
  </si>
  <si>
    <t>2 Years 5 Months 21 Days</t>
  </si>
  <si>
    <t>2 Years &amp; 5 Months</t>
  </si>
  <si>
    <t>21 Days</t>
  </si>
  <si>
    <t xml:space="preserve">(C ) Calculation on Interest on Leave Encashment </t>
  </si>
  <si>
    <t>Balance Leave</t>
  </si>
  <si>
    <t>Leave Encashment Amt.</t>
  </si>
  <si>
    <t xml:space="preserve">Total amount of  Interest </t>
  </si>
  <si>
    <t>(Amt in Rs.)</t>
  </si>
  <si>
    <t>A</t>
  </si>
  <si>
    <t>Pension</t>
  </si>
  <si>
    <t>B</t>
  </si>
  <si>
    <t>Gratutiy</t>
  </si>
  <si>
    <t>C</t>
  </si>
  <si>
    <t>leave Encashment</t>
  </si>
  <si>
    <t>ABCD</t>
  </si>
  <si>
    <t>Interest Rate Applied for</t>
  </si>
  <si>
    <t>Gratuity</t>
  </si>
  <si>
    <t>Under Pesnion Rule</t>
  </si>
  <si>
    <t>Final</t>
  </si>
  <si>
    <t>As per court decision</t>
  </si>
  <si>
    <t>Name of Office</t>
  </si>
  <si>
    <t>Name of Employee &amp; Designation</t>
  </si>
  <si>
    <t>Date of End of Service/Retirement</t>
  </si>
  <si>
    <t>COMMISSIONER COLONISATION, BIKANER</t>
  </si>
  <si>
    <t>PRAVESH KUMAR SHARMA</t>
  </si>
  <si>
    <t>AAO-I</t>
  </si>
  <si>
    <t>Intrest Calculate-Start date</t>
  </si>
  <si>
    <t>Intrest Calculate-End date</t>
  </si>
  <si>
    <t>Delay in days  &amp; Months</t>
  </si>
</sst>
</file>

<file path=xl/styles.xml><?xml version="1.0" encoding="utf-8"?>
<styleSheet xmlns="http://schemas.openxmlformats.org/spreadsheetml/2006/main">
  <numFmts count="1">
    <numFmt numFmtId="164" formatCode="0.0%"/>
  </numFmts>
  <fonts count="25">
    <font>
      <sz val="11"/>
      <color theme="1"/>
      <name val="Calibri"/>
      <family val="2"/>
      <scheme val="minor"/>
    </font>
    <font>
      <sz val="12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56"/>
      <name val="Calibri"/>
      <family val="2"/>
    </font>
    <font>
      <b/>
      <sz val="14"/>
      <color indexed="56"/>
      <name val="Calibri"/>
      <family val="2"/>
    </font>
    <font>
      <sz val="14"/>
      <name val="Calibri"/>
      <family val="2"/>
    </font>
    <font>
      <sz val="16"/>
      <color theme="1"/>
      <name val="DevLys 010"/>
    </font>
    <font>
      <sz val="14"/>
      <color theme="1"/>
      <name val="Calibri"/>
      <family val="2"/>
    </font>
    <font>
      <b/>
      <sz val="20"/>
      <color theme="1"/>
      <name val="DevLys 010"/>
    </font>
    <font>
      <b/>
      <sz val="16"/>
      <color theme="1"/>
      <name val="DevLys 010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9" fontId="19" fillId="0" borderId="0" applyFont="0" applyFill="0" applyBorder="0" applyAlignment="0" applyProtection="0"/>
  </cellStyleXfs>
  <cellXfs count="155">
    <xf numFmtId="0" fontId="0" fillId="0" borderId="0" xfId="0"/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14" fontId="4" fillId="0" borderId="2" xfId="0" applyNumberFormat="1" applyFont="1" applyBorder="1"/>
    <xf numFmtId="17" fontId="4" fillId="0" borderId="2" xfId="0" applyNumberFormat="1" applyFont="1" applyBorder="1"/>
    <xf numFmtId="9" fontId="4" fillId="0" borderId="2" xfId="0" applyNumberFormat="1" applyFont="1" applyBorder="1"/>
    <xf numFmtId="0" fontId="4" fillId="0" borderId="2" xfId="0" quotePrefix="1" applyFont="1" applyBorder="1" applyAlignment="1">
      <alignment horizontal="center"/>
    </xf>
    <xf numFmtId="17" fontId="4" fillId="0" borderId="0" xfId="0" applyNumberFormat="1" applyFont="1"/>
    <xf numFmtId="0" fontId="4" fillId="0" borderId="0" xfId="0" applyFont="1" applyAlignment="1">
      <alignment horizontal="center" vertical="center"/>
    </xf>
    <xf numFmtId="14" fontId="0" fillId="0" borderId="0" xfId="0" applyNumberFormat="1"/>
    <xf numFmtId="0" fontId="0" fillId="4" borderId="4" xfId="0" applyFill="1" applyBorder="1" applyAlignment="1">
      <alignment horizontal="centerContinuous"/>
    </xf>
    <xf numFmtId="0" fontId="5" fillId="0" borderId="4" xfId="0" applyFont="1" applyBorder="1"/>
    <xf numFmtId="14" fontId="5" fillId="0" borderId="4" xfId="0" applyNumberFormat="1" applyFont="1" applyBorder="1"/>
    <xf numFmtId="0" fontId="5" fillId="0" borderId="0" xfId="0" applyFont="1"/>
    <xf numFmtId="0" fontId="5" fillId="3" borderId="4" xfId="0" applyFont="1" applyFill="1" applyBorder="1"/>
    <xf numFmtId="0" fontId="5" fillId="4" borderId="4" xfId="0" applyFont="1" applyFill="1" applyBorder="1"/>
    <xf numFmtId="0" fontId="5" fillId="4" borderId="4" xfId="0" applyFont="1" applyFill="1" applyBorder="1" applyAlignment="1">
      <alignment horizontal="left"/>
    </xf>
    <xf numFmtId="0" fontId="10" fillId="5" borderId="0" xfId="4" applyFont="1" applyBorder="1" applyAlignment="1">
      <alignment horizontal="center"/>
    </xf>
    <xf numFmtId="0" fontId="10" fillId="6" borderId="12" xfId="5" applyFont="1" applyBorder="1" applyAlignment="1">
      <alignment horizontal="center"/>
    </xf>
    <xf numFmtId="0" fontId="10" fillId="6" borderId="13" xfId="5" applyFont="1" applyBorder="1" applyAlignment="1">
      <alignment horizontal="center"/>
    </xf>
    <xf numFmtId="0" fontId="10" fillId="6" borderId="14" xfId="5" applyFont="1" applyBorder="1" applyAlignment="1">
      <alignment horizontal="center"/>
    </xf>
    <xf numFmtId="9" fontId="10" fillId="6" borderId="14" xfId="5" applyNumberFormat="1" applyFont="1" applyBorder="1" applyAlignment="1">
      <alignment horizontal="center"/>
    </xf>
    <xf numFmtId="14" fontId="11" fillId="7" borderId="2" xfId="3" applyNumberFormat="1" applyFont="1" applyFill="1" applyBorder="1"/>
    <xf numFmtId="0" fontId="12" fillId="7" borderId="2" xfId="2" applyFont="1" applyFill="1" applyBorder="1" applyProtection="1">
      <protection hidden="1"/>
    </xf>
    <xf numFmtId="9" fontId="13" fillId="7" borderId="15" xfId="1" applyNumberFormat="1" applyFont="1" applyFill="1" applyBorder="1" applyProtection="1">
      <protection hidden="1"/>
    </xf>
    <xf numFmtId="9" fontId="13" fillId="7" borderId="2" xfId="1" applyNumberFormat="1" applyFont="1" applyFill="1" applyBorder="1" applyProtection="1">
      <protection hidden="1"/>
    </xf>
    <xf numFmtId="14" fontId="14" fillId="0" borderId="2" xfId="0" applyNumberFormat="1" applyFont="1" applyFill="1" applyBorder="1" applyProtection="1">
      <protection locked="0"/>
    </xf>
    <xf numFmtId="9" fontId="14" fillId="0" borderId="2" xfId="0" applyNumberFormat="1" applyFont="1" applyFill="1" applyBorder="1" applyProtection="1">
      <protection locked="0"/>
    </xf>
    <xf numFmtId="0" fontId="4" fillId="0" borderId="0" xfId="0" applyFont="1" applyBorder="1"/>
    <xf numFmtId="9" fontId="4" fillId="0" borderId="0" xfId="0" applyNumberFormat="1" applyFont="1" applyBorder="1"/>
    <xf numFmtId="0" fontId="4" fillId="9" borderId="2" xfId="0" applyFont="1" applyFill="1" applyBorder="1"/>
    <xf numFmtId="0" fontId="4" fillId="0" borderId="0" xfId="0" applyFont="1" applyFill="1" applyBorder="1"/>
    <xf numFmtId="0" fontId="3" fillId="10" borderId="2" xfId="0" applyFont="1" applyFill="1" applyBorder="1"/>
    <xf numFmtId="0" fontId="8" fillId="10" borderId="2" xfId="0" applyFont="1" applyFill="1" applyBorder="1"/>
    <xf numFmtId="0" fontId="15" fillId="0" borderId="0" xfId="0" applyFont="1"/>
    <xf numFmtId="0" fontId="17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9" fontId="16" fillId="0" borderId="2" xfId="0" applyNumberFormat="1" applyFont="1" applyBorder="1"/>
    <xf numFmtId="0" fontId="16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2" xfId="0" applyNumberFormat="1" applyBorder="1"/>
    <xf numFmtId="164" fontId="0" fillId="0" borderId="2" xfId="6" applyNumberFormat="1" applyFont="1" applyBorder="1"/>
    <xf numFmtId="0" fontId="3" fillId="0" borderId="2" xfId="0" applyFont="1" applyBorder="1"/>
    <xf numFmtId="0" fontId="4" fillId="0" borderId="2" xfId="0" applyFont="1" applyBorder="1" applyAlignment="1">
      <alignment horizontal="left"/>
    </xf>
    <xf numFmtId="9" fontId="4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0" xfId="0" applyFont="1"/>
    <xf numFmtId="0" fontId="0" fillId="0" borderId="2" xfId="0" applyFont="1" applyBorder="1"/>
    <xf numFmtId="9" fontId="4" fillId="9" borderId="2" xfId="0" applyNumberFormat="1" applyFont="1" applyFill="1" applyBorder="1"/>
    <xf numFmtId="17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9" fontId="4" fillId="0" borderId="2" xfId="0" applyNumberFormat="1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2" xfId="0" applyFont="1" applyFill="1" applyBorder="1"/>
    <xf numFmtId="0" fontId="22" fillId="0" borderId="2" xfId="0" applyFont="1" applyFill="1" applyBorder="1"/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Border="1" applyAlignment="1"/>
    <xf numFmtId="0" fontId="4" fillId="0" borderId="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4" fontId="4" fillId="0" borderId="2" xfId="0" applyNumberFormat="1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9" fontId="4" fillId="0" borderId="13" xfId="0" applyNumberFormat="1" applyFont="1" applyBorder="1" applyAlignment="1">
      <alignment horizontal="center" vertical="top"/>
    </xf>
    <xf numFmtId="9" fontId="4" fillId="0" borderId="19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9" fontId="4" fillId="0" borderId="2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0" fillId="5" borderId="8" xfId="4" applyFont="1" applyBorder="1" applyAlignment="1">
      <alignment horizontal="center"/>
    </xf>
    <xf numFmtId="0" fontId="10" fillId="5" borderId="9" xfId="4" applyFont="1" applyBorder="1" applyAlignment="1">
      <alignment horizontal="center"/>
    </xf>
    <xf numFmtId="0" fontId="10" fillId="5" borderId="10" xfId="4" applyFont="1" applyBorder="1" applyAlignment="1">
      <alignment horizontal="center"/>
    </xf>
    <xf numFmtId="0" fontId="10" fillId="5" borderId="11" xfId="4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14" fontId="4" fillId="0" borderId="4" xfId="0" applyNumberFormat="1" applyFont="1" applyBorder="1"/>
    <xf numFmtId="0" fontId="4" fillId="3" borderId="4" xfId="0" applyFont="1" applyFill="1" applyBorder="1"/>
    <xf numFmtId="0" fontId="4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Continuous"/>
    </xf>
    <xf numFmtId="0" fontId="7" fillId="0" borderId="6" xfId="2"/>
    <xf numFmtId="0" fontId="7" fillId="8" borderId="6" xfId="2" applyFill="1" applyAlignment="1">
      <alignment horizontal="left" indent="2"/>
    </xf>
    <xf numFmtId="14" fontId="7" fillId="0" borderId="6" xfId="2" applyNumberFormat="1"/>
    <xf numFmtId="17" fontId="7" fillId="8" borderId="6" xfId="2" applyNumberFormat="1" applyFill="1"/>
    <xf numFmtId="0" fontId="7" fillId="0" borderId="6" xfId="2" applyAlignment="1">
      <alignment horizontal="center"/>
    </xf>
    <xf numFmtId="0" fontId="7" fillId="0" borderId="6" xfId="2" applyAlignment="1">
      <alignment horizontal="center" vertical="center" wrapText="1"/>
    </xf>
    <xf numFmtId="0" fontId="7" fillId="0" borderId="0" xfId="2" applyBorder="1"/>
    <xf numFmtId="0" fontId="7" fillId="0" borderId="2" xfId="2" applyBorder="1"/>
    <xf numFmtId="0" fontId="7" fillId="0" borderId="2" xfId="2" applyBorder="1" applyAlignment="1">
      <alignment horizontal="left"/>
    </xf>
    <xf numFmtId="0" fontId="7" fillId="0" borderId="2" xfId="2" applyBorder="1" applyAlignment="1">
      <alignment horizontal="center"/>
    </xf>
    <xf numFmtId="14" fontId="7" fillId="0" borderId="2" xfId="2" applyNumberFormat="1" applyBorder="1" applyAlignment="1">
      <alignment horizontal="center"/>
    </xf>
    <xf numFmtId="0" fontId="7" fillId="8" borderId="2" xfId="2" applyFill="1" applyBorder="1" applyAlignment="1">
      <alignment horizontal="center"/>
    </xf>
    <xf numFmtId="0" fontId="7" fillId="0" borderId="2" xfId="2" applyBorder="1" applyAlignment="1">
      <alignment horizontal="center"/>
    </xf>
    <xf numFmtId="0" fontId="7" fillId="0" borderId="2" xfId="2" applyFill="1" applyBorder="1"/>
    <xf numFmtId="14" fontId="7" fillId="12" borderId="2" xfId="2" applyNumberFormat="1" applyFill="1" applyBorder="1"/>
    <xf numFmtId="14" fontId="7" fillId="0" borderId="2" xfId="2" applyNumberFormat="1" applyBorder="1"/>
    <xf numFmtId="17" fontId="7" fillId="8" borderId="2" xfId="2" applyNumberFormat="1" applyFill="1" applyBorder="1"/>
    <xf numFmtId="0" fontId="7" fillId="0" borderId="2" xfId="2" applyBorder="1" applyAlignment="1">
      <alignment wrapText="1"/>
    </xf>
    <xf numFmtId="9" fontId="7" fillId="11" borderId="2" xfId="2" applyNumberFormat="1" applyFill="1" applyBorder="1"/>
    <xf numFmtId="164" fontId="7" fillId="11" borderId="2" xfId="2" applyNumberFormat="1" applyFill="1" applyBorder="1"/>
    <xf numFmtId="9" fontId="7" fillId="0" borderId="2" xfId="2" applyNumberFormat="1" applyBorder="1"/>
    <xf numFmtId="14" fontId="0" fillId="13" borderId="2" xfId="0" applyNumberFormat="1" applyFill="1" applyBorder="1"/>
    <xf numFmtId="17" fontId="24" fillId="13" borderId="16" xfId="0" applyNumberFormat="1" applyFont="1" applyFill="1" applyBorder="1" applyAlignment="1"/>
    <xf numFmtId="14" fontId="24" fillId="13" borderId="16" xfId="0" applyNumberFormat="1" applyFont="1" applyFill="1" applyBorder="1" applyAlignment="1">
      <alignment horizontal="center"/>
    </xf>
    <xf numFmtId="14" fontId="24" fillId="13" borderId="0" xfId="0" applyNumberFormat="1" applyFont="1" applyFill="1" applyBorder="1" applyAlignment="1">
      <alignment horizontal="center"/>
    </xf>
    <xf numFmtId="14" fontId="24" fillId="9" borderId="20" xfId="0" applyNumberFormat="1" applyFont="1" applyFill="1" applyBorder="1" applyAlignment="1"/>
    <xf numFmtId="14" fontId="24" fillId="9" borderId="22" xfId="0" applyNumberFormat="1" applyFont="1" applyFill="1" applyBorder="1" applyAlignment="1"/>
  </cellXfs>
  <cellStyles count="7">
    <cellStyle name="Accent3" xfId="4" builtinId="37"/>
    <cellStyle name="Accent4" xfId="5" builtinId="41"/>
    <cellStyle name="Heading 1" xfId="1" builtinId="16"/>
    <cellStyle name="Heading 2" xfId="2" builtinId="17"/>
    <cellStyle name="Normal" xfId="0" builtinId="0"/>
    <cellStyle name="Percent" xfId="6" builtinId="5"/>
    <cellStyle name="Total" xfId="3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228601</xdr:colOff>
      <xdr:row>0</xdr:row>
      <xdr:rowOff>155984</xdr:rowOff>
    </xdr:from>
    <xdr:to>
      <xdr:col>28</xdr:col>
      <xdr:colOff>266701</xdr:colOff>
      <xdr:row>40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1" y="155984"/>
          <a:ext cx="14058900" cy="74925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20</xdr:col>
      <xdr:colOff>28575</xdr:colOff>
      <xdr:row>70</xdr:row>
      <xdr:rowOff>19050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57600" y="7810500"/>
          <a:ext cx="8562975" cy="554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0</xdr:rowOff>
    </xdr:from>
    <xdr:to>
      <xdr:col>0</xdr:col>
      <xdr:colOff>942975</xdr:colOff>
      <xdr:row>1</xdr:row>
      <xdr:rowOff>9525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247650" y="0"/>
          <a:ext cx="695325" cy="323850"/>
        </a:xfrm>
        <a:prstGeom prst="rightArrow">
          <a:avLst>
            <a:gd name="adj1" fmla="val 55713"/>
            <a:gd name="adj2" fmla="val 476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ndsi/intrest%20calculation-modh.%20um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-10/Desktop/Pension%201/Pension%20Master%206.8/Pensionmaster%206.8/Data/Salary%20Arrear%20Master%20(3.3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 (2)"/>
      <sheetName val="main"/>
      <sheetName val="utility"/>
      <sheetName val="Sheet3"/>
      <sheetName val="Sheet2"/>
      <sheetName val="Sheet4"/>
      <sheetName val="da rt"/>
      <sheetName val="Sheet1"/>
      <sheetName val="gpf rate"/>
      <sheetName val="Sheet6"/>
      <sheetName val="Sheet5"/>
      <sheetName val="Final"/>
      <sheetName val="Sheet7"/>
    </sheetNames>
    <sheetDataSet>
      <sheetData sheetId="0"/>
      <sheetData sheetId="1">
        <row r="4">
          <cell r="F4">
            <v>39753</v>
          </cell>
        </row>
        <row r="12">
          <cell r="C12">
            <v>30</v>
          </cell>
        </row>
        <row r="16">
          <cell r="C16">
            <v>0.09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rearMaster"/>
      <sheetName val="Data (VII PAY-Z)"/>
      <sheetName val="Statement(Z) "/>
      <sheetName val="PraveshArr (VII PAY-Z) "/>
      <sheetName val="PraveshArr (VII PAY-Y)"/>
      <sheetName val="Data (VII PAY-Y)"/>
      <sheetName val="Statement(Y)"/>
      <sheetName val="Data(VII Pay-X)"/>
      <sheetName val="PraveshArr (VII Pay-X)"/>
      <sheetName val="Statement(X) "/>
      <sheetName val="Data (VI PAY-A)"/>
      <sheetName val="PraveshArr (VI Pay-A)"/>
      <sheetName val="Statement(A)"/>
      <sheetName val="Data (V to VI-B)"/>
      <sheetName val="Statement(B)"/>
      <sheetName val="PraveshArr (V to VI-B)"/>
      <sheetName val="Data (V PAY-C)"/>
      <sheetName val="PraveshArr (V Pay-C)"/>
      <sheetName val="Statement(C)"/>
      <sheetName val="Data -NPS( VI PAY-D) "/>
      <sheetName val="PraveshArr -NPS (VI Pay-D) "/>
      <sheetName val="Statement(D)"/>
      <sheetName val="Data -NPS( VII PAY-E) "/>
      <sheetName val="PraveshArr -NPS (VII Pay-E)"/>
      <sheetName val="Statement(E)"/>
      <sheetName val="Summary"/>
      <sheetName val="Data Summary"/>
      <sheetName val="Instruction"/>
      <sheetName val="Calculation"/>
      <sheetName val="vba"/>
      <sheetName val="Rates"/>
      <sheetName val="HRA"/>
      <sheetName val="HRA TABLE"/>
      <sheetName val="Arrear Peri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6">
          <cell r="H16">
            <v>74300</v>
          </cell>
        </row>
        <row r="17">
          <cell r="H17">
            <v>76500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view="pageBreakPreview" zoomScaleSheetLayoutView="100" workbookViewId="0">
      <pane xSplit="13" ySplit="8" topLeftCell="N9" activePane="bottomRight" state="frozen"/>
      <selection pane="topRight" activeCell="M1" sqref="M1"/>
      <selection pane="bottomLeft" activeCell="A4" sqref="A4"/>
      <selection pane="bottomRight" activeCell="B1" sqref="B1:O1"/>
    </sheetView>
  </sheetViews>
  <sheetFormatPr defaultColWidth="8.85546875" defaultRowHeight="15.75"/>
  <cols>
    <col min="1" max="1" width="5.7109375" style="5" customWidth="1"/>
    <col min="2" max="2" width="11.42578125" style="5" customWidth="1"/>
    <col min="3" max="3" width="10.85546875" style="5" customWidth="1"/>
    <col min="4" max="4" width="9.85546875" style="5" bestFit="1" customWidth="1"/>
    <col min="5" max="5" width="10.7109375" style="5" customWidth="1"/>
    <col min="6" max="6" width="13.7109375" style="5" customWidth="1"/>
    <col min="7" max="7" width="10.85546875" style="5" customWidth="1"/>
    <col min="8" max="8" width="9.28515625" style="5" customWidth="1"/>
    <col min="9" max="9" width="7.85546875" style="5" customWidth="1"/>
    <col min="10" max="10" width="9.28515625" style="5" customWidth="1"/>
    <col min="11" max="11" width="10.7109375" style="5" customWidth="1"/>
    <col min="12" max="12" width="9.85546875" style="5" customWidth="1"/>
    <col min="13" max="13" width="8.7109375" style="5" customWidth="1"/>
    <col min="14" max="14" width="12.42578125" style="5" customWidth="1"/>
    <col min="15" max="15" width="14.28515625" style="5" customWidth="1"/>
    <col min="16" max="16384" width="8.85546875" style="5"/>
  </cols>
  <sheetData>
    <row r="1" spans="1:18" ht="21">
      <c r="A1" s="33"/>
      <c r="B1" s="73" t="s">
        <v>102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8" ht="18.75">
      <c r="A2" s="33"/>
      <c r="B2" s="74" t="s">
        <v>103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8" s="33" customFormat="1">
      <c r="B3" s="75" t="s">
        <v>104</v>
      </c>
      <c r="C3" s="75"/>
      <c r="D3" s="7" t="s">
        <v>151</v>
      </c>
      <c r="E3" s="48"/>
      <c r="F3" s="76" t="s">
        <v>0</v>
      </c>
      <c r="G3" s="76"/>
      <c r="H3" s="77">
        <v>39751</v>
      </c>
      <c r="I3" s="77"/>
      <c r="J3" s="77"/>
      <c r="K3" s="77"/>
      <c r="L3" s="75" t="s">
        <v>105</v>
      </c>
      <c r="M3" s="75"/>
      <c r="N3" s="75"/>
      <c r="O3" s="75"/>
    </row>
    <row r="4" spans="1:18" s="33" customFormat="1" ht="18" customHeight="1">
      <c r="B4" s="75" t="s">
        <v>83</v>
      </c>
      <c r="C4" s="75"/>
      <c r="D4" s="75">
        <v>646509</v>
      </c>
      <c r="E4" s="75"/>
      <c r="F4" s="49" t="s">
        <v>106</v>
      </c>
      <c r="G4" s="49"/>
      <c r="H4" s="77">
        <v>40654</v>
      </c>
      <c r="I4" s="77"/>
      <c r="J4" s="77"/>
      <c r="K4" s="77"/>
      <c r="L4" s="76" t="s">
        <v>107</v>
      </c>
      <c r="M4" s="76"/>
      <c r="N4" s="76"/>
      <c r="O4" s="50">
        <v>0.09</v>
      </c>
    </row>
    <row r="5" spans="1:18" s="33" customFormat="1" ht="15.6" customHeight="1">
      <c r="B5" s="75" t="s">
        <v>108</v>
      </c>
      <c r="C5" s="75"/>
      <c r="D5" s="75">
        <v>665951</v>
      </c>
      <c r="E5" s="75"/>
      <c r="F5" s="76" t="s">
        <v>109</v>
      </c>
      <c r="G5" s="76"/>
      <c r="H5" s="75" t="s">
        <v>110</v>
      </c>
      <c r="I5" s="75"/>
      <c r="J5" s="75"/>
      <c r="K5" s="75"/>
      <c r="L5" s="76" t="s">
        <v>111</v>
      </c>
      <c r="M5" s="76"/>
      <c r="N5" s="76"/>
      <c r="O5" s="50">
        <v>0.08</v>
      </c>
    </row>
    <row r="6" spans="1:18" ht="18.75">
      <c r="B6" s="78" t="s">
        <v>112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8">
      <c r="A7" s="80" t="s">
        <v>17</v>
      </c>
      <c r="B7" s="80" t="s">
        <v>11</v>
      </c>
      <c r="C7" s="81" t="s">
        <v>113</v>
      </c>
      <c r="D7" s="81"/>
      <c r="E7" s="81"/>
      <c r="F7" s="81"/>
      <c r="G7" s="81"/>
      <c r="H7" s="81" t="s">
        <v>114</v>
      </c>
      <c r="I7" s="81"/>
      <c r="J7" s="81"/>
      <c r="K7" s="81"/>
      <c r="L7" s="81"/>
      <c r="M7" s="80" t="s">
        <v>115</v>
      </c>
      <c r="N7" s="80" t="s">
        <v>116</v>
      </c>
      <c r="O7" s="82" t="s">
        <v>117</v>
      </c>
    </row>
    <row r="8" spans="1:18" ht="31.5">
      <c r="A8" s="80"/>
      <c r="B8" s="80"/>
      <c r="C8" s="6" t="s">
        <v>118</v>
      </c>
      <c r="D8" s="6" t="s">
        <v>74</v>
      </c>
      <c r="E8" s="6" t="s">
        <v>75</v>
      </c>
      <c r="F8" s="6" t="s">
        <v>76</v>
      </c>
      <c r="G8" s="6" t="s">
        <v>77</v>
      </c>
      <c r="H8" s="6" t="s">
        <v>119</v>
      </c>
      <c r="I8" s="6" t="s">
        <v>120</v>
      </c>
      <c r="J8" s="6" t="s">
        <v>76</v>
      </c>
      <c r="K8" s="6" t="s">
        <v>78</v>
      </c>
      <c r="L8" s="6" t="s">
        <v>79</v>
      </c>
      <c r="M8" s="80"/>
      <c r="N8" s="80"/>
      <c r="O8" s="82"/>
    </row>
    <row r="9" spans="1:18" s="52" customFormat="1" ht="12.7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 t="s">
        <v>121</v>
      </c>
      <c r="H9" s="51">
        <v>8</v>
      </c>
      <c r="I9" s="51">
        <v>9</v>
      </c>
      <c r="J9" s="51">
        <v>10</v>
      </c>
      <c r="K9" s="51" t="s">
        <v>122</v>
      </c>
      <c r="L9" s="51" t="s">
        <v>123</v>
      </c>
      <c r="M9" s="51">
        <v>13</v>
      </c>
      <c r="N9" s="51">
        <v>14</v>
      </c>
      <c r="O9" s="51">
        <v>15</v>
      </c>
    </row>
    <row r="10" spans="1:18">
      <c r="A10" s="7">
        <v>1</v>
      </c>
      <c r="B10" s="9">
        <f>[1]main!F4</f>
        <v>39753</v>
      </c>
      <c r="C10" s="7">
        <v>8895</v>
      </c>
      <c r="D10" s="10">
        <v>0.16</v>
      </c>
      <c r="E10" s="7">
        <f>ROUND(C10*D10,0)</f>
        <v>1423</v>
      </c>
      <c r="F10" s="7">
        <v>2965</v>
      </c>
      <c r="G10" s="7">
        <f>C10+E10-F10</f>
        <v>7353</v>
      </c>
      <c r="H10" s="7">
        <v>0</v>
      </c>
      <c r="I10" s="7">
        <f>ROUND(H10*D10,0)</f>
        <v>0</v>
      </c>
      <c r="J10" s="7">
        <v>0</v>
      </c>
      <c r="K10" s="7">
        <f>H10+I10-J10</f>
        <v>0</v>
      </c>
      <c r="L10" s="7">
        <f>G10-K10</f>
        <v>7353</v>
      </c>
      <c r="M10" s="7">
        <f>[1]main!C12</f>
        <v>30</v>
      </c>
      <c r="N10" s="7">
        <f>ROUND(L10*M10/12*[1]main!$C$16,0)</f>
        <v>1654</v>
      </c>
      <c r="O10" s="53" t="s">
        <v>124</v>
      </c>
    </row>
    <row r="11" spans="1:18">
      <c r="A11" s="7">
        <v>2</v>
      </c>
      <c r="B11" s="9">
        <f>EOMONTH(B10,1)</f>
        <v>39813</v>
      </c>
      <c r="C11" s="7">
        <f>C10</f>
        <v>8895</v>
      </c>
      <c r="D11" s="10">
        <f>D10</f>
        <v>0.16</v>
      </c>
      <c r="E11" s="7">
        <f t="shared" ref="E11:E39" si="0">ROUND(C11*D11,0)</f>
        <v>1423</v>
      </c>
      <c r="F11" s="7">
        <f>F10</f>
        <v>2965</v>
      </c>
      <c r="G11" s="7">
        <f t="shared" ref="G11:G39" si="1">C11+E11-F11</f>
        <v>7353</v>
      </c>
      <c r="H11" s="7">
        <f>H10</f>
        <v>0</v>
      </c>
      <c r="I11" s="7">
        <f t="shared" ref="I11:I39" si="2">ROUND(H11*D11,0)</f>
        <v>0</v>
      </c>
      <c r="J11" s="7">
        <v>0</v>
      </c>
      <c r="K11" s="7">
        <f t="shared" ref="K11:K39" si="3">H11+I11-J11</f>
        <v>0</v>
      </c>
      <c r="L11" s="7">
        <f t="shared" ref="L11:L39" si="4">G11-K11</f>
        <v>7353</v>
      </c>
      <c r="M11" s="7">
        <f>M10-1</f>
        <v>29</v>
      </c>
      <c r="N11" s="7">
        <f>ROUND(L11*M11/12*[1]main!$C$16,0)</f>
        <v>1599</v>
      </c>
      <c r="O11" s="53" t="s">
        <v>124</v>
      </c>
    </row>
    <row r="12" spans="1:18">
      <c r="A12" s="7">
        <v>3</v>
      </c>
      <c r="B12" s="9">
        <f t="shared" ref="B12:B39" si="5">EOMONTH(B11,1)</f>
        <v>39844</v>
      </c>
      <c r="C12" s="7">
        <f t="shared" ref="C12:D27" si="6">C11</f>
        <v>8895</v>
      </c>
      <c r="D12" s="54">
        <v>0.22</v>
      </c>
      <c r="E12" s="7">
        <f t="shared" si="0"/>
        <v>1957</v>
      </c>
      <c r="F12" s="7">
        <f t="shared" ref="F12:F39" si="7">F11</f>
        <v>2965</v>
      </c>
      <c r="G12" s="7">
        <f t="shared" si="1"/>
        <v>7887</v>
      </c>
      <c r="H12" s="7">
        <f t="shared" ref="H12:H39" si="8">H11</f>
        <v>0</v>
      </c>
      <c r="I12" s="7">
        <f t="shared" si="2"/>
        <v>0</v>
      </c>
      <c r="J12" s="7">
        <v>0</v>
      </c>
      <c r="K12" s="7">
        <f t="shared" si="3"/>
        <v>0</v>
      </c>
      <c r="L12" s="7">
        <f t="shared" si="4"/>
        <v>7887</v>
      </c>
      <c r="M12" s="7">
        <f t="shared" ref="M12:M39" si="9">M11-1</f>
        <v>28</v>
      </c>
      <c r="N12" s="7">
        <f>ROUND(L12*M12/12*[1]main!$C$16,0)</f>
        <v>1656</v>
      </c>
      <c r="O12" s="53" t="s">
        <v>124</v>
      </c>
    </row>
    <row r="13" spans="1:18">
      <c r="A13" s="7">
        <v>4</v>
      </c>
      <c r="B13" s="9">
        <f t="shared" si="5"/>
        <v>39872</v>
      </c>
      <c r="C13" s="7">
        <f t="shared" si="6"/>
        <v>8895</v>
      </c>
      <c r="D13" s="10">
        <f t="shared" si="6"/>
        <v>0.22</v>
      </c>
      <c r="E13" s="7">
        <f t="shared" si="0"/>
        <v>1957</v>
      </c>
      <c r="F13" s="7">
        <f t="shared" si="7"/>
        <v>2965</v>
      </c>
      <c r="G13" s="7">
        <f t="shared" si="1"/>
        <v>7887</v>
      </c>
      <c r="H13" s="7">
        <f t="shared" si="8"/>
        <v>0</v>
      </c>
      <c r="I13" s="7">
        <f t="shared" si="2"/>
        <v>0</v>
      </c>
      <c r="J13" s="7">
        <v>0</v>
      </c>
      <c r="K13" s="7">
        <f t="shared" si="3"/>
        <v>0</v>
      </c>
      <c r="L13" s="7">
        <f t="shared" si="4"/>
        <v>7887</v>
      </c>
      <c r="M13" s="7">
        <f t="shared" si="9"/>
        <v>27</v>
      </c>
      <c r="N13" s="7">
        <f>ROUND(L13*M13/12*[1]main!$C$16,0)</f>
        <v>1597</v>
      </c>
      <c r="O13" s="53" t="s">
        <v>124</v>
      </c>
    </row>
    <row r="14" spans="1:18">
      <c r="A14" s="7">
        <v>5</v>
      </c>
      <c r="B14" s="9">
        <f t="shared" si="5"/>
        <v>39903</v>
      </c>
      <c r="C14" s="7">
        <f t="shared" si="6"/>
        <v>8895</v>
      </c>
      <c r="D14" s="10">
        <f t="shared" si="6"/>
        <v>0.22</v>
      </c>
      <c r="E14" s="7">
        <f t="shared" si="0"/>
        <v>1957</v>
      </c>
      <c r="F14" s="7">
        <f t="shared" si="7"/>
        <v>2965</v>
      </c>
      <c r="G14" s="7">
        <f t="shared" si="1"/>
        <v>7887</v>
      </c>
      <c r="H14" s="7">
        <f t="shared" si="8"/>
        <v>0</v>
      </c>
      <c r="I14" s="7">
        <f t="shared" si="2"/>
        <v>0</v>
      </c>
      <c r="J14" s="7">
        <v>0</v>
      </c>
      <c r="K14" s="7">
        <f t="shared" si="3"/>
        <v>0</v>
      </c>
      <c r="L14" s="7">
        <f t="shared" si="4"/>
        <v>7887</v>
      </c>
      <c r="M14" s="7">
        <f t="shared" si="9"/>
        <v>26</v>
      </c>
      <c r="N14" s="7">
        <f>ROUND(L14*M14/12*[1]main!$C$16,0)</f>
        <v>1538</v>
      </c>
      <c r="O14" s="53" t="s">
        <v>124</v>
      </c>
    </row>
    <row r="15" spans="1:18">
      <c r="A15" s="7">
        <v>6</v>
      </c>
      <c r="B15" s="9">
        <f t="shared" si="5"/>
        <v>39933</v>
      </c>
      <c r="C15" s="7">
        <f t="shared" si="6"/>
        <v>8895</v>
      </c>
      <c r="D15" s="10">
        <f t="shared" si="6"/>
        <v>0.22</v>
      </c>
      <c r="E15" s="7">
        <f t="shared" si="0"/>
        <v>1957</v>
      </c>
      <c r="F15" s="7">
        <f t="shared" si="7"/>
        <v>2965</v>
      </c>
      <c r="G15" s="7">
        <f t="shared" si="1"/>
        <v>7887</v>
      </c>
      <c r="H15" s="7">
        <f t="shared" si="8"/>
        <v>0</v>
      </c>
      <c r="I15" s="7">
        <f t="shared" si="2"/>
        <v>0</v>
      </c>
      <c r="J15" s="7">
        <v>0</v>
      </c>
      <c r="K15" s="7">
        <f t="shared" si="3"/>
        <v>0</v>
      </c>
      <c r="L15" s="7">
        <f t="shared" si="4"/>
        <v>7887</v>
      </c>
      <c r="M15" s="7">
        <f t="shared" si="9"/>
        <v>25</v>
      </c>
      <c r="N15" s="7">
        <f>ROUND(L15*M15/12*[1]main!$C$16,0)</f>
        <v>1479</v>
      </c>
      <c r="O15" s="53" t="s">
        <v>124</v>
      </c>
    </row>
    <row r="16" spans="1:18">
      <c r="A16" s="7">
        <v>7</v>
      </c>
      <c r="B16" s="9">
        <f t="shared" si="5"/>
        <v>39964</v>
      </c>
      <c r="C16" s="7">
        <f t="shared" si="6"/>
        <v>8895</v>
      </c>
      <c r="D16" s="10">
        <f t="shared" si="6"/>
        <v>0.22</v>
      </c>
      <c r="E16" s="7">
        <f t="shared" si="0"/>
        <v>1957</v>
      </c>
      <c r="F16" s="7">
        <f t="shared" si="7"/>
        <v>2965</v>
      </c>
      <c r="G16" s="7">
        <f t="shared" si="1"/>
        <v>7887</v>
      </c>
      <c r="H16" s="7">
        <f t="shared" si="8"/>
        <v>0</v>
      </c>
      <c r="I16" s="7">
        <f t="shared" si="2"/>
        <v>0</v>
      </c>
      <c r="J16" s="7">
        <v>0</v>
      </c>
      <c r="K16" s="7">
        <f t="shared" si="3"/>
        <v>0</v>
      </c>
      <c r="L16" s="7">
        <f t="shared" si="4"/>
        <v>7887</v>
      </c>
      <c r="M16" s="7">
        <f t="shared" si="9"/>
        <v>24</v>
      </c>
      <c r="N16" s="7">
        <f>ROUND(L16*M16/12*[1]main!$C$16,0)</f>
        <v>1420</v>
      </c>
      <c r="O16" s="53" t="s">
        <v>124</v>
      </c>
      <c r="R16" s="5">
        <f>8895/3*12*8.194</f>
        <v>291542.52</v>
      </c>
    </row>
    <row r="17" spans="1:15">
      <c r="A17" s="7">
        <v>8</v>
      </c>
      <c r="B17" s="9">
        <f t="shared" si="5"/>
        <v>39994</v>
      </c>
      <c r="C17" s="7">
        <f t="shared" si="6"/>
        <v>8895</v>
      </c>
      <c r="D17" s="10">
        <f t="shared" si="6"/>
        <v>0.22</v>
      </c>
      <c r="E17" s="7">
        <f t="shared" si="0"/>
        <v>1957</v>
      </c>
      <c r="F17" s="7">
        <f t="shared" si="7"/>
        <v>2965</v>
      </c>
      <c r="G17" s="7">
        <f t="shared" si="1"/>
        <v>7887</v>
      </c>
      <c r="H17" s="7">
        <f t="shared" si="8"/>
        <v>0</v>
      </c>
      <c r="I17" s="7">
        <f t="shared" si="2"/>
        <v>0</v>
      </c>
      <c r="J17" s="7">
        <v>0</v>
      </c>
      <c r="K17" s="7">
        <f t="shared" si="3"/>
        <v>0</v>
      </c>
      <c r="L17" s="7">
        <f t="shared" si="4"/>
        <v>7887</v>
      </c>
      <c r="M17" s="7">
        <f t="shared" si="9"/>
        <v>23</v>
      </c>
      <c r="N17" s="7">
        <f>ROUND(L17*M17/12*[1]main!$C$16,0)</f>
        <v>1361</v>
      </c>
      <c r="O17" s="53" t="s">
        <v>124</v>
      </c>
    </row>
    <row r="18" spans="1:15">
      <c r="A18" s="7">
        <v>9</v>
      </c>
      <c r="B18" s="9">
        <f t="shared" si="5"/>
        <v>40025</v>
      </c>
      <c r="C18" s="7">
        <f t="shared" si="6"/>
        <v>8895</v>
      </c>
      <c r="D18" s="54">
        <v>0.27</v>
      </c>
      <c r="E18" s="7">
        <f t="shared" si="0"/>
        <v>2402</v>
      </c>
      <c r="F18" s="7">
        <f t="shared" si="7"/>
        <v>2965</v>
      </c>
      <c r="G18" s="7">
        <f t="shared" si="1"/>
        <v>8332</v>
      </c>
      <c r="H18" s="7">
        <f t="shared" si="8"/>
        <v>0</v>
      </c>
      <c r="I18" s="7">
        <f t="shared" si="2"/>
        <v>0</v>
      </c>
      <c r="J18" s="7">
        <v>0</v>
      </c>
      <c r="K18" s="7">
        <f t="shared" si="3"/>
        <v>0</v>
      </c>
      <c r="L18" s="7">
        <f t="shared" si="4"/>
        <v>8332</v>
      </c>
      <c r="M18" s="7">
        <f t="shared" si="9"/>
        <v>22</v>
      </c>
      <c r="N18" s="7">
        <f>ROUND(L18*M18/12*[1]main!$C$16,0)</f>
        <v>1375</v>
      </c>
      <c r="O18" s="53" t="s">
        <v>124</v>
      </c>
    </row>
    <row r="19" spans="1:15">
      <c r="A19" s="7">
        <v>10</v>
      </c>
      <c r="B19" s="9">
        <f t="shared" si="5"/>
        <v>40056</v>
      </c>
      <c r="C19" s="7">
        <f t="shared" si="6"/>
        <v>8895</v>
      </c>
      <c r="D19" s="10">
        <f t="shared" si="6"/>
        <v>0.27</v>
      </c>
      <c r="E19" s="7">
        <f t="shared" si="0"/>
        <v>2402</v>
      </c>
      <c r="F19" s="7">
        <f t="shared" si="7"/>
        <v>2965</v>
      </c>
      <c r="G19" s="7">
        <f t="shared" si="1"/>
        <v>8332</v>
      </c>
      <c r="H19" s="7">
        <f t="shared" si="8"/>
        <v>0</v>
      </c>
      <c r="I19" s="7">
        <f t="shared" si="2"/>
        <v>0</v>
      </c>
      <c r="J19" s="7">
        <v>0</v>
      </c>
      <c r="K19" s="7">
        <f t="shared" si="3"/>
        <v>0</v>
      </c>
      <c r="L19" s="7">
        <f t="shared" si="4"/>
        <v>8332</v>
      </c>
      <c r="M19" s="7">
        <f t="shared" si="9"/>
        <v>21</v>
      </c>
      <c r="N19" s="7">
        <f>ROUND(L19*M19/12*[1]main!$C$16,0)</f>
        <v>1312</v>
      </c>
      <c r="O19" s="53" t="s">
        <v>124</v>
      </c>
    </row>
    <row r="20" spans="1:15">
      <c r="A20" s="7">
        <v>11</v>
      </c>
      <c r="B20" s="9">
        <f t="shared" si="5"/>
        <v>40086</v>
      </c>
      <c r="C20" s="7">
        <f t="shared" si="6"/>
        <v>8895</v>
      </c>
      <c r="D20" s="10">
        <f t="shared" si="6"/>
        <v>0.27</v>
      </c>
      <c r="E20" s="7">
        <f t="shared" si="0"/>
        <v>2402</v>
      </c>
      <c r="F20" s="7">
        <f t="shared" si="7"/>
        <v>2965</v>
      </c>
      <c r="G20" s="7">
        <f t="shared" si="1"/>
        <v>8332</v>
      </c>
      <c r="H20" s="7">
        <f t="shared" si="8"/>
        <v>0</v>
      </c>
      <c r="I20" s="7">
        <f t="shared" si="2"/>
        <v>0</v>
      </c>
      <c r="J20" s="7">
        <v>0</v>
      </c>
      <c r="K20" s="7">
        <f t="shared" si="3"/>
        <v>0</v>
      </c>
      <c r="L20" s="7">
        <f t="shared" si="4"/>
        <v>8332</v>
      </c>
      <c r="M20" s="7">
        <f t="shared" si="9"/>
        <v>20</v>
      </c>
      <c r="N20" s="7">
        <f>ROUND(L20*M20/12*[1]main!$C$16,0)</f>
        <v>1250</v>
      </c>
      <c r="O20" s="53" t="s">
        <v>124</v>
      </c>
    </row>
    <row r="21" spans="1:15">
      <c r="A21" s="7">
        <v>12</v>
      </c>
      <c r="B21" s="9">
        <f t="shared" si="5"/>
        <v>40117</v>
      </c>
      <c r="C21" s="7">
        <f t="shared" si="6"/>
        <v>8895</v>
      </c>
      <c r="D21" s="10">
        <f t="shared" si="6"/>
        <v>0.27</v>
      </c>
      <c r="E21" s="7">
        <f t="shared" si="0"/>
        <v>2402</v>
      </c>
      <c r="F21" s="7">
        <f t="shared" si="7"/>
        <v>2965</v>
      </c>
      <c r="G21" s="7">
        <f t="shared" si="1"/>
        <v>8332</v>
      </c>
      <c r="H21" s="7">
        <f t="shared" si="8"/>
        <v>0</v>
      </c>
      <c r="I21" s="7">
        <f t="shared" si="2"/>
        <v>0</v>
      </c>
      <c r="J21" s="7">
        <v>0</v>
      </c>
      <c r="K21" s="7">
        <f t="shared" si="3"/>
        <v>0</v>
      </c>
      <c r="L21" s="7">
        <f t="shared" si="4"/>
        <v>8332</v>
      </c>
      <c r="M21" s="7">
        <f t="shared" si="9"/>
        <v>19</v>
      </c>
      <c r="N21" s="7">
        <f>ROUND(L21*M21/12*[1]main!$C$16,0)</f>
        <v>1187</v>
      </c>
      <c r="O21" s="53" t="s">
        <v>124</v>
      </c>
    </row>
    <row r="22" spans="1:15">
      <c r="A22" s="7">
        <v>13</v>
      </c>
      <c r="B22" s="9">
        <f t="shared" si="5"/>
        <v>40147</v>
      </c>
      <c r="C22" s="7">
        <f t="shared" si="6"/>
        <v>8895</v>
      </c>
      <c r="D22" s="10">
        <f t="shared" si="6"/>
        <v>0.27</v>
      </c>
      <c r="E22" s="7">
        <f t="shared" si="0"/>
        <v>2402</v>
      </c>
      <c r="F22" s="7">
        <f t="shared" si="7"/>
        <v>2965</v>
      </c>
      <c r="G22" s="7">
        <f t="shared" si="1"/>
        <v>8332</v>
      </c>
      <c r="H22" s="7">
        <f t="shared" si="8"/>
        <v>0</v>
      </c>
      <c r="I22" s="7">
        <f t="shared" si="2"/>
        <v>0</v>
      </c>
      <c r="J22" s="7">
        <v>0</v>
      </c>
      <c r="K22" s="7">
        <f t="shared" si="3"/>
        <v>0</v>
      </c>
      <c r="L22" s="7">
        <f t="shared" si="4"/>
        <v>8332</v>
      </c>
      <c r="M22" s="7">
        <f t="shared" si="9"/>
        <v>18</v>
      </c>
      <c r="N22" s="7">
        <f>ROUND(L22*M22/12*[1]main!$C$16,0)</f>
        <v>1125</v>
      </c>
      <c r="O22" s="53" t="s">
        <v>124</v>
      </c>
    </row>
    <row r="23" spans="1:15">
      <c r="A23" s="7">
        <v>14</v>
      </c>
      <c r="B23" s="9">
        <f t="shared" si="5"/>
        <v>40178</v>
      </c>
      <c r="C23" s="7">
        <f t="shared" si="6"/>
        <v>8895</v>
      </c>
      <c r="D23" s="10">
        <f t="shared" si="6"/>
        <v>0.27</v>
      </c>
      <c r="E23" s="7">
        <f t="shared" si="0"/>
        <v>2402</v>
      </c>
      <c r="F23" s="7">
        <f t="shared" si="7"/>
        <v>2965</v>
      </c>
      <c r="G23" s="7">
        <f t="shared" si="1"/>
        <v>8332</v>
      </c>
      <c r="H23" s="7">
        <f t="shared" si="8"/>
        <v>0</v>
      </c>
      <c r="I23" s="7">
        <f t="shared" si="2"/>
        <v>0</v>
      </c>
      <c r="J23" s="7">
        <v>0</v>
      </c>
      <c r="K23" s="7">
        <f t="shared" si="3"/>
        <v>0</v>
      </c>
      <c r="L23" s="7">
        <f t="shared" si="4"/>
        <v>8332</v>
      </c>
      <c r="M23" s="7">
        <f t="shared" si="9"/>
        <v>17</v>
      </c>
      <c r="N23" s="7">
        <f>ROUND(L23*M23/12*[1]main!$C$16,0)</f>
        <v>1062</v>
      </c>
      <c r="O23" s="53" t="s">
        <v>124</v>
      </c>
    </row>
    <row r="24" spans="1:15">
      <c r="A24" s="7">
        <v>15</v>
      </c>
      <c r="B24" s="9">
        <f t="shared" si="5"/>
        <v>40209</v>
      </c>
      <c r="C24" s="7">
        <f t="shared" si="6"/>
        <v>8895</v>
      </c>
      <c r="D24" s="54">
        <v>0.35</v>
      </c>
      <c r="E24" s="7">
        <f t="shared" si="0"/>
        <v>3113</v>
      </c>
      <c r="F24" s="7">
        <f t="shared" si="7"/>
        <v>2965</v>
      </c>
      <c r="G24" s="7">
        <f t="shared" si="1"/>
        <v>9043</v>
      </c>
      <c r="H24" s="7">
        <f t="shared" si="8"/>
        <v>0</v>
      </c>
      <c r="I24" s="7">
        <f t="shared" si="2"/>
        <v>0</v>
      </c>
      <c r="J24" s="7">
        <v>0</v>
      </c>
      <c r="K24" s="7">
        <f t="shared" si="3"/>
        <v>0</v>
      </c>
      <c r="L24" s="7">
        <f t="shared" si="4"/>
        <v>9043</v>
      </c>
      <c r="M24" s="7">
        <f t="shared" si="9"/>
        <v>16</v>
      </c>
      <c r="N24" s="7">
        <f>ROUND(L24*M24/12*[1]main!$C$16,0)</f>
        <v>1085</v>
      </c>
      <c r="O24" s="53" t="s">
        <v>124</v>
      </c>
    </row>
    <row r="25" spans="1:15">
      <c r="A25" s="7">
        <v>16</v>
      </c>
      <c r="B25" s="9">
        <f t="shared" si="5"/>
        <v>40237</v>
      </c>
      <c r="C25" s="7">
        <f t="shared" si="6"/>
        <v>8895</v>
      </c>
      <c r="D25" s="10">
        <f t="shared" si="6"/>
        <v>0.35</v>
      </c>
      <c r="E25" s="7">
        <f t="shared" si="0"/>
        <v>3113</v>
      </c>
      <c r="F25" s="7">
        <f t="shared" si="7"/>
        <v>2965</v>
      </c>
      <c r="G25" s="7">
        <f t="shared" si="1"/>
        <v>9043</v>
      </c>
      <c r="H25" s="7">
        <f t="shared" si="8"/>
        <v>0</v>
      </c>
      <c r="I25" s="7">
        <f t="shared" si="2"/>
        <v>0</v>
      </c>
      <c r="J25" s="7">
        <v>0</v>
      </c>
      <c r="K25" s="7">
        <f t="shared" si="3"/>
        <v>0</v>
      </c>
      <c r="L25" s="7">
        <f t="shared" si="4"/>
        <v>9043</v>
      </c>
      <c r="M25" s="7">
        <f t="shared" si="9"/>
        <v>15</v>
      </c>
      <c r="N25" s="7">
        <f>ROUND(L25*M25/12*[1]main!$C$16,0)</f>
        <v>1017</v>
      </c>
      <c r="O25" s="53" t="s">
        <v>124</v>
      </c>
    </row>
    <row r="26" spans="1:15">
      <c r="A26" s="7">
        <v>17</v>
      </c>
      <c r="B26" s="9">
        <f t="shared" si="5"/>
        <v>40268</v>
      </c>
      <c r="C26" s="7">
        <f t="shared" si="6"/>
        <v>8895</v>
      </c>
      <c r="D26" s="10">
        <f t="shared" si="6"/>
        <v>0.35</v>
      </c>
      <c r="E26" s="7">
        <f t="shared" si="0"/>
        <v>3113</v>
      </c>
      <c r="F26" s="7">
        <f t="shared" si="7"/>
        <v>2965</v>
      </c>
      <c r="G26" s="7">
        <f t="shared" si="1"/>
        <v>9043</v>
      </c>
      <c r="H26" s="7">
        <f t="shared" si="8"/>
        <v>0</v>
      </c>
      <c r="I26" s="7">
        <f t="shared" si="2"/>
        <v>0</v>
      </c>
      <c r="J26" s="7">
        <v>0</v>
      </c>
      <c r="K26" s="7">
        <f t="shared" si="3"/>
        <v>0</v>
      </c>
      <c r="L26" s="7">
        <f t="shared" si="4"/>
        <v>9043</v>
      </c>
      <c r="M26" s="7">
        <f t="shared" si="9"/>
        <v>14</v>
      </c>
      <c r="N26" s="7">
        <f>ROUND(L26*M26/12*[1]main!$C$16,0)</f>
        <v>950</v>
      </c>
      <c r="O26" s="53" t="s">
        <v>124</v>
      </c>
    </row>
    <row r="27" spans="1:15">
      <c r="A27" s="7">
        <v>18</v>
      </c>
      <c r="B27" s="9">
        <f t="shared" si="5"/>
        <v>40298</v>
      </c>
      <c r="C27" s="7">
        <f t="shared" si="6"/>
        <v>8895</v>
      </c>
      <c r="D27" s="10">
        <f t="shared" si="6"/>
        <v>0.35</v>
      </c>
      <c r="E27" s="7">
        <f t="shared" si="0"/>
        <v>3113</v>
      </c>
      <c r="F27" s="7">
        <f t="shared" si="7"/>
        <v>2965</v>
      </c>
      <c r="G27" s="7">
        <f t="shared" si="1"/>
        <v>9043</v>
      </c>
      <c r="H27" s="7">
        <f t="shared" si="8"/>
        <v>0</v>
      </c>
      <c r="I27" s="7">
        <f t="shared" si="2"/>
        <v>0</v>
      </c>
      <c r="J27" s="7">
        <v>0</v>
      </c>
      <c r="K27" s="7">
        <f t="shared" si="3"/>
        <v>0</v>
      </c>
      <c r="L27" s="7">
        <f t="shared" si="4"/>
        <v>9043</v>
      </c>
      <c r="M27" s="7">
        <f t="shared" si="9"/>
        <v>13</v>
      </c>
      <c r="N27" s="7">
        <f>ROUND(L27*M27/12*[1]main!$C$16,0)</f>
        <v>882</v>
      </c>
      <c r="O27" s="53" t="s">
        <v>124</v>
      </c>
    </row>
    <row r="28" spans="1:15">
      <c r="A28" s="7">
        <v>19</v>
      </c>
      <c r="B28" s="9">
        <f t="shared" si="5"/>
        <v>40329</v>
      </c>
      <c r="C28" s="7">
        <f t="shared" ref="C28:D39" si="10">C27</f>
        <v>8895</v>
      </c>
      <c r="D28" s="10">
        <f t="shared" si="10"/>
        <v>0.35</v>
      </c>
      <c r="E28" s="7">
        <f t="shared" si="0"/>
        <v>3113</v>
      </c>
      <c r="F28" s="7">
        <f t="shared" si="7"/>
        <v>2965</v>
      </c>
      <c r="G28" s="7">
        <f t="shared" si="1"/>
        <v>9043</v>
      </c>
      <c r="H28" s="7">
        <f t="shared" si="8"/>
        <v>0</v>
      </c>
      <c r="I28" s="7">
        <f t="shared" si="2"/>
        <v>0</v>
      </c>
      <c r="J28" s="7">
        <v>0</v>
      </c>
      <c r="K28" s="7">
        <f t="shared" si="3"/>
        <v>0</v>
      </c>
      <c r="L28" s="7">
        <f t="shared" si="4"/>
        <v>9043</v>
      </c>
      <c r="M28" s="7">
        <f t="shared" si="9"/>
        <v>12</v>
      </c>
      <c r="N28" s="7">
        <f>ROUND(L28*M28/12*[1]main!$C$16,0)</f>
        <v>814</v>
      </c>
      <c r="O28" s="53" t="s">
        <v>124</v>
      </c>
    </row>
    <row r="29" spans="1:15">
      <c r="A29" s="7">
        <v>20</v>
      </c>
      <c r="B29" s="9">
        <f t="shared" si="5"/>
        <v>40359</v>
      </c>
      <c r="C29" s="7">
        <f t="shared" si="10"/>
        <v>8895</v>
      </c>
      <c r="D29" s="10">
        <f t="shared" si="10"/>
        <v>0.35</v>
      </c>
      <c r="E29" s="7">
        <f t="shared" si="0"/>
        <v>3113</v>
      </c>
      <c r="F29" s="7">
        <f t="shared" si="7"/>
        <v>2965</v>
      </c>
      <c r="G29" s="7">
        <f t="shared" si="1"/>
        <v>9043</v>
      </c>
      <c r="H29" s="7">
        <f t="shared" si="8"/>
        <v>0</v>
      </c>
      <c r="I29" s="7">
        <f t="shared" si="2"/>
        <v>0</v>
      </c>
      <c r="J29" s="7">
        <v>0</v>
      </c>
      <c r="K29" s="7">
        <f t="shared" si="3"/>
        <v>0</v>
      </c>
      <c r="L29" s="7">
        <f t="shared" si="4"/>
        <v>9043</v>
      </c>
      <c r="M29" s="7">
        <f t="shared" si="9"/>
        <v>11</v>
      </c>
      <c r="N29" s="7">
        <f>ROUND(L29*M29/12*[1]main!$C$16,0)</f>
        <v>746</v>
      </c>
      <c r="O29" s="53" t="s">
        <v>124</v>
      </c>
    </row>
    <row r="30" spans="1:15">
      <c r="A30" s="7">
        <v>21</v>
      </c>
      <c r="B30" s="9">
        <f t="shared" si="5"/>
        <v>40390</v>
      </c>
      <c r="C30" s="7">
        <f t="shared" si="10"/>
        <v>8895</v>
      </c>
      <c r="D30" s="54">
        <v>0.45</v>
      </c>
      <c r="E30" s="7">
        <f t="shared" si="0"/>
        <v>4003</v>
      </c>
      <c r="F30" s="7">
        <f t="shared" si="7"/>
        <v>2965</v>
      </c>
      <c r="G30" s="7">
        <f t="shared" si="1"/>
        <v>9933</v>
      </c>
      <c r="H30" s="7">
        <f t="shared" si="8"/>
        <v>0</v>
      </c>
      <c r="I30" s="7">
        <f t="shared" si="2"/>
        <v>0</v>
      </c>
      <c r="J30" s="7">
        <v>0</v>
      </c>
      <c r="K30" s="7">
        <f t="shared" si="3"/>
        <v>0</v>
      </c>
      <c r="L30" s="7">
        <f t="shared" si="4"/>
        <v>9933</v>
      </c>
      <c r="M30" s="7">
        <f t="shared" si="9"/>
        <v>10</v>
      </c>
      <c r="N30" s="7">
        <f>ROUND(L30*M30/12*[1]main!$C$16,0)</f>
        <v>745</v>
      </c>
      <c r="O30" s="53" t="s">
        <v>124</v>
      </c>
    </row>
    <row r="31" spans="1:15">
      <c r="A31" s="7">
        <v>22</v>
      </c>
      <c r="B31" s="9">
        <f t="shared" si="5"/>
        <v>40421</v>
      </c>
      <c r="C31" s="7">
        <f t="shared" si="10"/>
        <v>8895</v>
      </c>
      <c r="D31" s="10">
        <f t="shared" si="10"/>
        <v>0.45</v>
      </c>
      <c r="E31" s="7">
        <f t="shared" si="0"/>
        <v>4003</v>
      </c>
      <c r="F31" s="7">
        <f t="shared" si="7"/>
        <v>2965</v>
      </c>
      <c r="G31" s="7">
        <f t="shared" si="1"/>
        <v>9933</v>
      </c>
      <c r="H31" s="7">
        <f t="shared" si="8"/>
        <v>0</v>
      </c>
      <c r="I31" s="7">
        <f t="shared" si="2"/>
        <v>0</v>
      </c>
      <c r="J31" s="7">
        <v>0</v>
      </c>
      <c r="K31" s="7">
        <f t="shared" si="3"/>
        <v>0</v>
      </c>
      <c r="L31" s="7">
        <f t="shared" si="4"/>
        <v>9933</v>
      </c>
      <c r="M31" s="7">
        <f t="shared" si="9"/>
        <v>9</v>
      </c>
      <c r="N31" s="7">
        <f>ROUND(L31*M31/12*[1]main!$C$16,0)</f>
        <v>670</v>
      </c>
      <c r="O31" s="53" t="s">
        <v>124</v>
      </c>
    </row>
    <row r="32" spans="1:15">
      <c r="A32" s="7">
        <v>23</v>
      </c>
      <c r="B32" s="9">
        <f t="shared" si="5"/>
        <v>40451</v>
      </c>
      <c r="C32" s="7">
        <f t="shared" si="10"/>
        <v>8895</v>
      </c>
      <c r="D32" s="10">
        <f t="shared" si="10"/>
        <v>0.45</v>
      </c>
      <c r="E32" s="7">
        <f t="shared" si="0"/>
        <v>4003</v>
      </c>
      <c r="F32" s="7">
        <f t="shared" si="7"/>
        <v>2965</v>
      </c>
      <c r="G32" s="7">
        <f t="shared" si="1"/>
        <v>9933</v>
      </c>
      <c r="H32" s="7">
        <f t="shared" si="8"/>
        <v>0</v>
      </c>
      <c r="I32" s="7">
        <f t="shared" si="2"/>
        <v>0</v>
      </c>
      <c r="J32" s="7">
        <v>0</v>
      </c>
      <c r="K32" s="7">
        <f t="shared" si="3"/>
        <v>0</v>
      </c>
      <c r="L32" s="7">
        <f t="shared" si="4"/>
        <v>9933</v>
      </c>
      <c r="M32" s="7">
        <f t="shared" si="9"/>
        <v>8</v>
      </c>
      <c r="N32" s="7">
        <f>ROUND(L32*M32/12*[1]main!$C$16,0)</f>
        <v>596</v>
      </c>
      <c r="O32" s="53" t="s">
        <v>124</v>
      </c>
    </row>
    <row r="33" spans="1:19">
      <c r="A33" s="7">
        <v>24</v>
      </c>
      <c r="B33" s="9">
        <f t="shared" si="5"/>
        <v>40482</v>
      </c>
      <c r="C33" s="7">
        <f t="shared" si="10"/>
        <v>8895</v>
      </c>
      <c r="D33" s="10">
        <f t="shared" si="10"/>
        <v>0.45</v>
      </c>
      <c r="E33" s="7">
        <f t="shared" si="0"/>
        <v>4003</v>
      </c>
      <c r="F33" s="7">
        <f t="shared" si="7"/>
        <v>2965</v>
      </c>
      <c r="G33" s="7">
        <f t="shared" si="1"/>
        <v>9933</v>
      </c>
      <c r="H33" s="7">
        <f t="shared" si="8"/>
        <v>0</v>
      </c>
      <c r="I33" s="7">
        <f t="shared" si="2"/>
        <v>0</v>
      </c>
      <c r="J33" s="7">
        <v>0</v>
      </c>
      <c r="K33" s="7">
        <f t="shared" si="3"/>
        <v>0</v>
      </c>
      <c r="L33" s="7">
        <f t="shared" si="4"/>
        <v>9933</v>
      </c>
      <c r="M33" s="7">
        <f t="shared" si="9"/>
        <v>7</v>
      </c>
      <c r="N33" s="7">
        <f>ROUND(L33*M33/12*[1]main!$C$16,0)</f>
        <v>521</v>
      </c>
      <c r="O33" s="53" t="s">
        <v>124</v>
      </c>
    </row>
    <row r="34" spans="1:19">
      <c r="A34" s="7">
        <v>25</v>
      </c>
      <c r="B34" s="9">
        <f t="shared" si="5"/>
        <v>40512</v>
      </c>
      <c r="C34" s="7">
        <f t="shared" si="10"/>
        <v>8895</v>
      </c>
      <c r="D34" s="10">
        <f t="shared" si="10"/>
        <v>0.45</v>
      </c>
      <c r="E34" s="7">
        <f t="shared" si="0"/>
        <v>4003</v>
      </c>
      <c r="F34" s="7">
        <f t="shared" si="7"/>
        <v>2965</v>
      </c>
      <c r="G34" s="7">
        <f t="shared" si="1"/>
        <v>9933</v>
      </c>
      <c r="H34" s="7">
        <f t="shared" si="8"/>
        <v>0</v>
      </c>
      <c r="I34" s="7">
        <f t="shared" si="2"/>
        <v>0</v>
      </c>
      <c r="J34" s="7">
        <v>0</v>
      </c>
      <c r="K34" s="7">
        <f t="shared" si="3"/>
        <v>0</v>
      </c>
      <c r="L34" s="7">
        <f t="shared" si="4"/>
        <v>9933</v>
      </c>
      <c r="M34" s="7">
        <f t="shared" si="9"/>
        <v>6</v>
      </c>
      <c r="N34" s="7">
        <f>ROUND(L34*M34/12*[1]main!$C$16,0)</f>
        <v>447</v>
      </c>
      <c r="O34" s="53" t="s">
        <v>124</v>
      </c>
    </row>
    <row r="35" spans="1:19">
      <c r="A35" s="7">
        <v>26</v>
      </c>
      <c r="B35" s="9">
        <f t="shared" si="5"/>
        <v>40543</v>
      </c>
      <c r="C35" s="7">
        <f t="shared" si="10"/>
        <v>8895</v>
      </c>
      <c r="D35" s="10">
        <f t="shared" si="10"/>
        <v>0.45</v>
      </c>
      <c r="E35" s="7">
        <f t="shared" si="0"/>
        <v>4003</v>
      </c>
      <c r="F35" s="7">
        <f t="shared" si="7"/>
        <v>2965</v>
      </c>
      <c r="G35" s="7">
        <f t="shared" si="1"/>
        <v>9933</v>
      </c>
      <c r="H35" s="7">
        <f t="shared" si="8"/>
        <v>0</v>
      </c>
      <c r="I35" s="7">
        <f t="shared" si="2"/>
        <v>0</v>
      </c>
      <c r="J35" s="7">
        <v>0</v>
      </c>
      <c r="K35" s="7">
        <f t="shared" si="3"/>
        <v>0</v>
      </c>
      <c r="L35" s="7">
        <f t="shared" si="4"/>
        <v>9933</v>
      </c>
      <c r="M35" s="7">
        <f t="shared" si="9"/>
        <v>5</v>
      </c>
      <c r="N35" s="7">
        <f>ROUND(L35*M35/12*[1]main!$C$16,0)</f>
        <v>372</v>
      </c>
      <c r="O35" s="53" t="s">
        <v>124</v>
      </c>
    </row>
    <row r="36" spans="1:19">
      <c r="A36" s="7">
        <v>27</v>
      </c>
      <c r="B36" s="9">
        <f t="shared" si="5"/>
        <v>40574</v>
      </c>
      <c r="C36" s="7">
        <f t="shared" si="10"/>
        <v>8895</v>
      </c>
      <c r="D36" s="54">
        <v>0.51</v>
      </c>
      <c r="E36" s="7">
        <f t="shared" si="0"/>
        <v>4536</v>
      </c>
      <c r="F36" s="7">
        <f t="shared" si="7"/>
        <v>2965</v>
      </c>
      <c r="G36" s="7">
        <f t="shared" si="1"/>
        <v>10466</v>
      </c>
      <c r="H36" s="7">
        <f t="shared" si="8"/>
        <v>0</v>
      </c>
      <c r="I36" s="7">
        <f t="shared" si="2"/>
        <v>0</v>
      </c>
      <c r="J36" s="7">
        <v>0</v>
      </c>
      <c r="K36" s="7">
        <f t="shared" si="3"/>
        <v>0</v>
      </c>
      <c r="L36" s="7">
        <f t="shared" si="4"/>
        <v>10466</v>
      </c>
      <c r="M36" s="7">
        <f t="shared" si="9"/>
        <v>4</v>
      </c>
      <c r="N36" s="7">
        <f>ROUND(L36*M36/12*[1]main!$C$16,0)</f>
        <v>314</v>
      </c>
      <c r="O36" s="53" t="s">
        <v>124</v>
      </c>
    </row>
    <row r="37" spans="1:19">
      <c r="A37" s="7">
        <v>28</v>
      </c>
      <c r="B37" s="9">
        <f t="shared" si="5"/>
        <v>40602</v>
      </c>
      <c r="C37" s="7">
        <f t="shared" si="10"/>
        <v>8895</v>
      </c>
      <c r="D37" s="10">
        <f t="shared" si="10"/>
        <v>0.51</v>
      </c>
      <c r="E37" s="7">
        <f t="shared" si="0"/>
        <v>4536</v>
      </c>
      <c r="F37" s="7">
        <f t="shared" si="7"/>
        <v>2965</v>
      </c>
      <c r="G37" s="7">
        <f t="shared" si="1"/>
        <v>10466</v>
      </c>
      <c r="H37" s="7">
        <f t="shared" si="8"/>
        <v>0</v>
      </c>
      <c r="I37" s="7">
        <f t="shared" si="2"/>
        <v>0</v>
      </c>
      <c r="J37" s="7">
        <v>0</v>
      </c>
      <c r="K37" s="7">
        <f t="shared" si="3"/>
        <v>0</v>
      </c>
      <c r="L37" s="7">
        <f t="shared" si="4"/>
        <v>10466</v>
      </c>
      <c r="M37" s="7">
        <f t="shared" si="9"/>
        <v>3</v>
      </c>
      <c r="N37" s="7">
        <f>ROUND(L37*M37/12*[1]main!$C$16,0)</f>
        <v>235</v>
      </c>
      <c r="O37" s="53" t="s">
        <v>124</v>
      </c>
    </row>
    <row r="38" spans="1:19">
      <c r="A38" s="7">
        <v>29</v>
      </c>
      <c r="B38" s="9">
        <f t="shared" si="5"/>
        <v>40633</v>
      </c>
      <c r="C38" s="7">
        <f t="shared" si="10"/>
        <v>8895</v>
      </c>
      <c r="D38" s="10">
        <f t="shared" si="10"/>
        <v>0.51</v>
      </c>
      <c r="E38" s="7">
        <f t="shared" si="0"/>
        <v>4536</v>
      </c>
      <c r="F38" s="7">
        <f t="shared" si="7"/>
        <v>2965</v>
      </c>
      <c r="G38" s="7">
        <f t="shared" si="1"/>
        <v>10466</v>
      </c>
      <c r="H38" s="7">
        <f t="shared" si="8"/>
        <v>0</v>
      </c>
      <c r="I38" s="7">
        <f t="shared" si="2"/>
        <v>0</v>
      </c>
      <c r="J38" s="7">
        <v>0</v>
      </c>
      <c r="K38" s="7">
        <f t="shared" si="3"/>
        <v>0</v>
      </c>
      <c r="L38" s="7">
        <f t="shared" si="4"/>
        <v>10466</v>
      </c>
      <c r="M38" s="7">
        <f t="shared" si="9"/>
        <v>2</v>
      </c>
      <c r="N38" s="7">
        <f>ROUND(L38*M38/12*[1]main!$C$16,0)</f>
        <v>157</v>
      </c>
      <c r="O38" s="53" t="s">
        <v>124</v>
      </c>
    </row>
    <row r="39" spans="1:19" s="59" customFormat="1">
      <c r="A39" s="7">
        <v>30</v>
      </c>
      <c r="B39" s="55">
        <f t="shared" si="5"/>
        <v>40663</v>
      </c>
      <c r="C39" s="56">
        <f t="shared" si="10"/>
        <v>8895</v>
      </c>
      <c r="D39" s="57">
        <f t="shared" si="10"/>
        <v>0.51</v>
      </c>
      <c r="E39" s="56">
        <f t="shared" si="0"/>
        <v>4536</v>
      </c>
      <c r="F39" s="56">
        <f t="shared" si="7"/>
        <v>2965</v>
      </c>
      <c r="G39" s="56">
        <f t="shared" si="1"/>
        <v>10466</v>
      </c>
      <c r="H39" s="56">
        <f t="shared" si="8"/>
        <v>0</v>
      </c>
      <c r="I39" s="56">
        <f t="shared" si="2"/>
        <v>0</v>
      </c>
      <c r="J39" s="56">
        <v>0</v>
      </c>
      <c r="K39" s="56">
        <f t="shared" si="3"/>
        <v>0</v>
      </c>
      <c r="L39" s="56">
        <f t="shared" si="4"/>
        <v>10466</v>
      </c>
      <c r="M39" s="56">
        <f t="shared" si="9"/>
        <v>1</v>
      </c>
      <c r="N39" s="56">
        <f>ROUND(L39*9%*21/365,0)</f>
        <v>54</v>
      </c>
      <c r="O39" s="58" t="s">
        <v>125</v>
      </c>
      <c r="S39" s="56">
        <f>ROUND(L39*M39/12*[1]main!$C$16,0)</f>
        <v>78</v>
      </c>
    </row>
    <row r="40" spans="1:19">
      <c r="A40" s="83" t="s">
        <v>19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60"/>
      <c r="N40" s="61">
        <f>SUM(N10:N39)</f>
        <v>29220</v>
      </c>
      <c r="O40" s="7"/>
    </row>
    <row r="41" spans="1:19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36"/>
      <c r="N41" s="63"/>
      <c r="O41" s="33"/>
    </row>
    <row r="42" spans="1:19" ht="23.45" customHeight="1">
      <c r="B42" s="78" t="s">
        <v>126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9">
      <c r="C43" s="33"/>
      <c r="D43" s="84"/>
      <c r="E43" s="84"/>
      <c r="F43" s="84"/>
      <c r="G43" s="84"/>
      <c r="H43" s="84"/>
      <c r="I43" s="84"/>
      <c r="J43" s="84"/>
      <c r="K43" s="84"/>
      <c r="L43" s="84"/>
      <c r="M43" s="33"/>
      <c r="N43" s="33"/>
      <c r="O43" s="33"/>
    </row>
    <row r="44" spans="1:19">
      <c r="C44" s="85" t="s">
        <v>127</v>
      </c>
      <c r="D44" s="85" t="s">
        <v>128</v>
      </c>
      <c r="E44" s="85" t="s">
        <v>10</v>
      </c>
      <c r="F44" s="85" t="s">
        <v>129</v>
      </c>
      <c r="G44" s="85" t="s">
        <v>130</v>
      </c>
      <c r="H44" s="85" t="s">
        <v>115</v>
      </c>
      <c r="I44" s="85"/>
      <c r="J44" s="85" t="s">
        <v>131</v>
      </c>
      <c r="K44" s="75" t="s">
        <v>132</v>
      </c>
      <c r="L44" s="75"/>
      <c r="M44" s="75"/>
      <c r="N44" s="75"/>
      <c r="O44" s="75"/>
    </row>
    <row r="45" spans="1:19" s="64" customFormat="1" ht="31.5">
      <c r="C45" s="85"/>
      <c r="D45" s="85"/>
      <c r="E45" s="85"/>
      <c r="F45" s="85"/>
      <c r="G45" s="85"/>
      <c r="H45" s="85"/>
      <c r="I45" s="85"/>
      <c r="J45" s="85"/>
      <c r="K45" s="86" t="s">
        <v>133</v>
      </c>
      <c r="L45" s="87"/>
      <c r="M45" s="65" t="s">
        <v>134</v>
      </c>
      <c r="N45" s="65" t="s">
        <v>135</v>
      </c>
      <c r="O45" s="65" t="s">
        <v>136</v>
      </c>
    </row>
    <row r="46" spans="1:19" s="66" customFormat="1">
      <c r="C46" s="88">
        <v>17790</v>
      </c>
      <c r="D46" s="90">
        <v>0.16</v>
      </c>
      <c r="E46" s="88">
        <f>ROUND(C46*D46,0)</f>
        <v>2846</v>
      </c>
      <c r="F46" s="88">
        <f>C46+E46</f>
        <v>20636</v>
      </c>
      <c r="G46" s="88">
        <f>ROUND(F46*66/4,0)</f>
        <v>340494</v>
      </c>
      <c r="H46" s="92" t="s">
        <v>137</v>
      </c>
      <c r="I46" s="93"/>
      <c r="J46" s="90">
        <v>0.08</v>
      </c>
      <c r="K46" s="86" t="s">
        <v>138</v>
      </c>
      <c r="L46" s="87"/>
      <c r="M46" s="56">
        <v>29</v>
      </c>
      <c r="N46" s="67">
        <f>ROUND(G46*J46*M46/12,0)</f>
        <v>65829</v>
      </c>
      <c r="O46" s="88">
        <f>N46+N47</f>
        <v>67396</v>
      </c>
    </row>
    <row r="47" spans="1:19">
      <c r="C47" s="89"/>
      <c r="D47" s="91"/>
      <c r="E47" s="89"/>
      <c r="F47" s="89"/>
      <c r="G47" s="89"/>
      <c r="H47" s="94"/>
      <c r="I47" s="95"/>
      <c r="J47" s="91"/>
      <c r="K47" s="96" t="s">
        <v>139</v>
      </c>
      <c r="L47" s="97"/>
      <c r="M47" s="56">
        <v>21</v>
      </c>
      <c r="N47" s="68">
        <f>ROUND(G46*J46*M47/365,0)</f>
        <v>1567</v>
      </c>
      <c r="O47" s="89"/>
    </row>
    <row r="48" spans="1:19">
      <c r="C48" s="33"/>
      <c r="D48" s="69"/>
      <c r="E48" s="69"/>
      <c r="F48" s="69"/>
      <c r="G48" s="69"/>
      <c r="H48" s="69"/>
      <c r="I48" s="69"/>
      <c r="J48" s="69"/>
      <c r="K48" s="69"/>
      <c r="L48" s="69"/>
      <c r="M48" s="33"/>
      <c r="N48" s="33"/>
      <c r="O48" s="33"/>
    </row>
    <row r="49" spans="2:15" ht="18.75">
      <c r="B49" s="98" t="s">
        <v>140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2:15" ht="15.6" customHeight="1">
      <c r="C50" s="100" t="s">
        <v>127</v>
      </c>
      <c r="D50" s="100" t="s">
        <v>128</v>
      </c>
      <c r="E50" s="85" t="s">
        <v>141</v>
      </c>
      <c r="F50" s="85" t="s">
        <v>142</v>
      </c>
      <c r="G50" s="85"/>
      <c r="H50" s="85" t="s">
        <v>115</v>
      </c>
      <c r="I50" s="85"/>
      <c r="J50" s="85" t="s">
        <v>131</v>
      </c>
      <c r="K50" s="100" t="s">
        <v>132</v>
      </c>
      <c r="L50" s="100"/>
      <c r="M50" s="100"/>
      <c r="N50" s="100"/>
      <c r="O50" s="100"/>
    </row>
    <row r="51" spans="2:15" ht="31.5">
      <c r="C51" s="100"/>
      <c r="D51" s="100"/>
      <c r="E51" s="85"/>
      <c r="F51" s="85"/>
      <c r="G51" s="85"/>
      <c r="H51" s="85"/>
      <c r="I51" s="85"/>
      <c r="J51" s="85"/>
      <c r="K51" s="86" t="s">
        <v>133</v>
      </c>
      <c r="L51" s="87"/>
      <c r="M51" s="65" t="s">
        <v>134</v>
      </c>
      <c r="N51" s="70" t="s">
        <v>135</v>
      </c>
      <c r="O51" s="70" t="s">
        <v>136</v>
      </c>
    </row>
    <row r="52" spans="2:15">
      <c r="C52" s="88">
        <v>17790</v>
      </c>
      <c r="D52" s="90">
        <v>0.16</v>
      </c>
      <c r="E52" s="88">
        <v>300</v>
      </c>
      <c r="F52" s="101">
        <v>206364</v>
      </c>
      <c r="G52" s="102"/>
      <c r="H52" s="85" t="s">
        <v>137</v>
      </c>
      <c r="I52" s="85"/>
      <c r="J52" s="105">
        <v>0.09</v>
      </c>
      <c r="K52" s="86" t="s">
        <v>138</v>
      </c>
      <c r="L52" s="87"/>
      <c r="M52" s="56">
        <v>29</v>
      </c>
      <c r="N52" s="67">
        <f>ROUND(F52*J52*M52/12,0)</f>
        <v>44884</v>
      </c>
      <c r="O52" s="100">
        <f>N52+N53</f>
        <v>45953</v>
      </c>
    </row>
    <row r="53" spans="2:15">
      <c r="C53" s="89"/>
      <c r="D53" s="91"/>
      <c r="E53" s="89"/>
      <c r="F53" s="103"/>
      <c r="G53" s="104"/>
      <c r="H53" s="85"/>
      <c r="I53" s="85"/>
      <c r="J53" s="105"/>
      <c r="K53" s="106" t="s">
        <v>139</v>
      </c>
      <c r="L53" s="107"/>
      <c r="M53" s="56">
        <v>21</v>
      </c>
      <c r="N53" s="67">
        <f>ROUND(F52*J52*M53/365,0)</f>
        <v>1069</v>
      </c>
      <c r="O53" s="100"/>
    </row>
    <row r="54" spans="2:15">
      <c r="C54" s="71"/>
      <c r="D54" s="71"/>
      <c r="E54" s="108" t="s">
        <v>143</v>
      </c>
      <c r="F54" s="108"/>
      <c r="G54" s="108"/>
      <c r="H54" s="108"/>
      <c r="I54" s="108"/>
      <c r="J54" s="71"/>
      <c r="K54" s="71"/>
      <c r="L54" s="71"/>
      <c r="M54" s="71"/>
      <c r="N54" s="71"/>
      <c r="O54" s="71"/>
    </row>
    <row r="55" spans="2:15">
      <c r="H55" s="109" t="s">
        <v>144</v>
      </c>
      <c r="I55" s="109"/>
    </row>
    <row r="56" spans="2:15">
      <c r="E56" s="72" t="s">
        <v>145</v>
      </c>
      <c r="F56" s="110" t="s">
        <v>146</v>
      </c>
      <c r="G56" s="111"/>
      <c r="H56" s="75">
        <f>N40</f>
        <v>29220</v>
      </c>
      <c r="I56" s="75"/>
    </row>
    <row r="57" spans="2:15">
      <c r="E57" s="72" t="s">
        <v>147</v>
      </c>
      <c r="F57" s="110" t="s">
        <v>148</v>
      </c>
      <c r="G57" s="111"/>
      <c r="H57" s="75">
        <f>O46</f>
        <v>67396</v>
      </c>
      <c r="I57" s="75"/>
    </row>
    <row r="58" spans="2:15">
      <c r="E58" s="72" t="s">
        <v>149</v>
      </c>
      <c r="F58" s="110" t="s">
        <v>150</v>
      </c>
      <c r="G58" s="111"/>
      <c r="H58" s="75">
        <f>O52</f>
        <v>45953</v>
      </c>
      <c r="I58" s="75"/>
    </row>
    <row r="59" spans="2:15">
      <c r="E59" s="112" t="s">
        <v>19</v>
      </c>
      <c r="F59" s="113"/>
      <c r="G59" s="114"/>
      <c r="H59" s="115">
        <f>SUM(H56:I58)</f>
        <v>142569</v>
      </c>
      <c r="I59" s="115"/>
    </row>
  </sheetData>
  <mergeCells count="73">
    <mergeCell ref="F58:G58"/>
    <mergeCell ref="H58:I58"/>
    <mergeCell ref="E59:G59"/>
    <mergeCell ref="H59:I59"/>
    <mergeCell ref="H55:I55"/>
    <mergeCell ref="F56:G56"/>
    <mergeCell ref="H56:I56"/>
    <mergeCell ref="F57:G57"/>
    <mergeCell ref="H57:I57"/>
    <mergeCell ref="J52:J53"/>
    <mergeCell ref="K52:L52"/>
    <mergeCell ref="O52:O53"/>
    <mergeCell ref="K53:L53"/>
    <mergeCell ref="E54:I54"/>
    <mergeCell ref="C52:C53"/>
    <mergeCell ref="D52:D53"/>
    <mergeCell ref="E52:E53"/>
    <mergeCell ref="F52:G53"/>
    <mergeCell ref="H52:I53"/>
    <mergeCell ref="B49:O49"/>
    <mergeCell ref="C50:C51"/>
    <mergeCell ref="D50:D51"/>
    <mergeCell ref="E50:E51"/>
    <mergeCell ref="F50:G51"/>
    <mergeCell ref="H50:I51"/>
    <mergeCell ref="J50:J51"/>
    <mergeCell ref="K50:O50"/>
    <mergeCell ref="K51:L51"/>
    <mergeCell ref="H46:I47"/>
    <mergeCell ref="J46:J47"/>
    <mergeCell ref="K46:L46"/>
    <mergeCell ref="O46:O47"/>
    <mergeCell ref="K47:L47"/>
    <mergeCell ref="C46:C47"/>
    <mergeCell ref="D46:D47"/>
    <mergeCell ref="E46:E47"/>
    <mergeCell ref="F46:F47"/>
    <mergeCell ref="G46:G47"/>
    <mergeCell ref="A40:L40"/>
    <mergeCell ref="B42:O42"/>
    <mergeCell ref="D43:L43"/>
    <mergeCell ref="C44:C45"/>
    <mergeCell ref="D44:D45"/>
    <mergeCell ref="E44:E45"/>
    <mergeCell ref="F44:F45"/>
    <mergeCell ref="G44:G45"/>
    <mergeCell ref="H44:I45"/>
    <mergeCell ref="J44:J45"/>
    <mergeCell ref="K44:O44"/>
    <mergeCell ref="K45:L45"/>
    <mergeCell ref="B6:O6"/>
    <mergeCell ref="A7:A8"/>
    <mergeCell ref="B7:B8"/>
    <mergeCell ref="C7:G7"/>
    <mergeCell ref="H7:L7"/>
    <mergeCell ref="M7:M8"/>
    <mergeCell ref="N7:N8"/>
    <mergeCell ref="O7:O8"/>
    <mergeCell ref="B4:C4"/>
    <mergeCell ref="D4:E4"/>
    <mergeCell ref="H4:K4"/>
    <mergeCell ref="L4:N4"/>
    <mergeCell ref="B5:C5"/>
    <mergeCell ref="D5:E5"/>
    <mergeCell ref="F5:G5"/>
    <mergeCell ref="H5:K5"/>
    <mergeCell ref="L5:N5"/>
    <mergeCell ref="B1:O1"/>
    <mergeCell ref="B2:O2"/>
    <mergeCell ref="B3:C3"/>
    <mergeCell ref="F3:G3"/>
    <mergeCell ref="H3:K3"/>
    <mergeCell ref="L3:O3"/>
  </mergeCells>
  <pageMargins left="0.70866141732283472" right="0.70866141732283472" top="0.35433070866141736" bottom="0.35433070866141736" header="0.31496062992125984" footer="0.31496062992125984"/>
  <pageSetup paperSize="9" scale="76" orientation="landscape" r:id="rId1"/>
  <headerFooter>
    <oddFooter>Page &amp;P of &amp;N</oddFooter>
  </headerFooter>
  <rowBreaks count="1" manualBreakCount="1">
    <brk id="4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>
      <selection activeCell="C12" sqref="C12"/>
    </sheetView>
  </sheetViews>
  <sheetFormatPr defaultRowHeight="15.75"/>
  <cols>
    <col min="1" max="1" width="37" style="5" bestFit="1" customWidth="1"/>
    <col min="2" max="2" width="23.140625" style="5" customWidth="1"/>
    <col min="3" max="3" width="27" style="5" bestFit="1" customWidth="1"/>
    <col min="4" max="4" width="14.5703125" style="5" customWidth="1"/>
    <col min="5" max="5" width="13.7109375" style="5" customWidth="1"/>
    <col min="6" max="6" width="11.85546875" style="5" bestFit="1" customWidth="1"/>
    <col min="7" max="7" width="11" style="5" bestFit="1" customWidth="1"/>
    <col min="8" max="8" width="26.140625" style="5" bestFit="1" customWidth="1"/>
    <col min="9" max="9" width="13.7109375" style="5" bestFit="1" customWidth="1"/>
    <col min="10" max="14" width="9.28515625" style="5" bestFit="1" customWidth="1"/>
    <col min="15" max="16384" width="9.140625" style="5"/>
  </cols>
  <sheetData>
    <row r="1" spans="1:14" ht="18" thickBot="1">
      <c r="A1" s="134"/>
      <c r="B1" s="134"/>
      <c r="C1" s="134"/>
      <c r="D1" s="134"/>
      <c r="E1" s="134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8.75" thickTop="1" thickBot="1">
      <c r="A2" s="135" t="s">
        <v>157</v>
      </c>
      <c r="B2" s="135" t="s">
        <v>160</v>
      </c>
      <c r="C2" s="135"/>
      <c r="D2" s="135"/>
      <c r="E2" s="135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8.75" thickTop="1" thickBot="1">
      <c r="A3" s="135" t="s">
        <v>158</v>
      </c>
      <c r="B3" s="136" t="s">
        <v>161</v>
      </c>
      <c r="C3" s="136"/>
      <c r="D3" s="137" t="s">
        <v>162</v>
      </c>
      <c r="E3" s="137"/>
      <c r="G3" s="128"/>
      <c r="H3" s="128"/>
      <c r="I3" s="128"/>
      <c r="J3" s="128"/>
      <c r="K3" s="128"/>
      <c r="L3" s="128"/>
      <c r="M3" s="128"/>
      <c r="N3" s="128"/>
    </row>
    <row r="4" spans="1:14" ht="18.75" thickTop="1" thickBot="1">
      <c r="A4" s="135" t="s">
        <v>159</v>
      </c>
      <c r="B4" s="138">
        <v>39813</v>
      </c>
      <c r="C4" s="135" t="s">
        <v>165</v>
      </c>
      <c r="D4" s="139">
        <f>B10-D5</f>
        <v>3400</v>
      </c>
      <c r="E4" s="139">
        <f>DATEDIF(D5,B10,"M")</f>
        <v>111</v>
      </c>
      <c r="F4" s="128"/>
      <c r="G4" s="128"/>
      <c r="H4" s="128"/>
      <c r="I4" s="128"/>
      <c r="J4" s="128"/>
      <c r="K4" s="128"/>
      <c r="L4" s="128"/>
      <c r="M4" s="128"/>
      <c r="N4" s="128"/>
    </row>
    <row r="5" spans="1:14" ht="18.75" thickTop="1" thickBot="1">
      <c r="A5" s="135" t="s">
        <v>83</v>
      </c>
      <c r="B5" s="140">
        <v>12345</v>
      </c>
      <c r="C5" s="135" t="s">
        <v>6</v>
      </c>
      <c r="D5" s="142">
        <f>B4+1</f>
        <v>39814</v>
      </c>
      <c r="E5" s="7"/>
      <c r="F5" s="128"/>
      <c r="G5" s="128"/>
      <c r="H5" s="128"/>
      <c r="I5" s="128"/>
      <c r="J5" s="128"/>
      <c r="K5" s="128"/>
      <c r="L5" s="128"/>
      <c r="M5" s="128"/>
      <c r="N5" s="128"/>
    </row>
    <row r="6" spans="1:14" ht="18.75" thickTop="1" thickBot="1">
      <c r="A6" s="135" t="s">
        <v>108</v>
      </c>
      <c r="B6" s="140">
        <v>54321</v>
      </c>
      <c r="C6" s="141" t="s">
        <v>71</v>
      </c>
      <c r="D6" s="143">
        <f>D5</f>
        <v>39814</v>
      </c>
      <c r="E6" s="144">
        <f>D6</f>
        <v>39814</v>
      </c>
      <c r="F6" s="128"/>
      <c r="G6" s="149">
        <f>'[2]Data(VII Pay-X)'!H16</f>
        <v>74300</v>
      </c>
      <c r="K6" s="128"/>
      <c r="L6" s="128"/>
      <c r="M6" s="128"/>
      <c r="N6" s="128"/>
    </row>
    <row r="7" spans="1:14" ht="18.75" thickTop="1" thickBot="1">
      <c r="A7" s="135" t="s">
        <v>9</v>
      </c>
      <c r="B7" s="140">
        <v>244712</v>
      </c>
      <c r="C7" s="135" t="s">
        <v>152</v>
      </c>
      <c r="D7" s="135" t="s">
        <v>146</v>
      </c>
      <c r="E7" s="135" t="s">
        <v>153</v>
      </c>
      <c r="F7" s="128"/>
      <c r="G7" s="149">
        <f>'[2]Data(VII Pay-X)'!H17</f>
        <v>76500</v>
      </c>
      <c r="K7" s="128"/>
      <c r="L7" s="128"/>
      <c r="M7" s="128"/>
      <c r="N7" s="128"/>
    </row>
    <row r="8" spans="1:14" ht="18.75" thickTop="1" thickBot="1">
      <c r="A8" s="141" t="s">
        <v>73</v>
      </c>
      <c r="B8" s="140">
        <v>6583</v>
      </c>
      <c r="C8" s="145" t="s">
        <v>154</v>
      </c>
      <c r="D8" s="146">
        <v>0.12</v>
      </c>
      <c r="E8" s="147">
        <f>VLOOKUP($D$6,'gpf rate'!$C$5:$E$26,3)</f>
        <v>0.08</v>
      </c>
      <c r="F8" s="128"/>
      <c r="G8" s="153">
        <f>EOMONTH(G7,0)</f>
        <v>76518</v>
      </c>
      <c r="K8" s="128"/>
      <c r="L8" s="128"/>
      <c r="M8" s="128"/>
      <c r="N8" s="128"/>
    </row>
    <row r="9" spans="1:14" ht="18.75" thickTop="1" thickBot="1">
      <c r="A9" s="141" t="s">
        <v>72</v>
      </c>
      <c r="B9" s="140">
        <v>6583</v>
      </c>
      <c r="C9" s="145" t="s">
        <v>156</v>
      </c>
      <c r="D9" s="148">
        <f>D8</f>
        <v>0.12</v>
      </c>
      <c r="E9" s="148">
        <f>E8</f>
        <v>0.08</v>
      </c>
      <c r="F9" s="128"/>
      <c r="G9" s="128"/>
      <c r="H9" s="128"/>
      <c r="I9" s="128"/>
      <c r="J9" s="128"/>
      <c r="K9" s="128"/>
      <c r="L9" s="128"/>
      <c r="M9" s="128"/>
      <c r="N9" s="128"/>
    </row>
    <row r="10" spans="1:14" ht="18.75" thickTop="1" thickBot="1">
      <c r="A10" s="135" t="s">
        <v>5</v>
      </c>
      <c r="B10" s="138">
        <v>43214</v>
      </c>
      <c r="C10" s="135" t="s">
        <v>155</v>
      </c>
      <c r="D10" s="147">
        <f>D9</f>
        <v>0.12</v>
      </c>
      <c r="E10" s="147">
        <f>E9</f>
        <v>0.08</v>
      </c>
      <c r="G10" s="128"/>
      <c r="H10" s="128"/>
      <c r="I10" s="128"/>
      <c r="J10" s="128"/>
      <c r="K10" s="128"/>
      <c r="L10" s="128"/>
      <c r="M10" s="128"/>
      <c r="N10" s="128"/>
    </row>
    <row r="11" spans="1:14" ht="18.75" thickTop="1" thickBot="1">
      <c r="A11" s="135" t="s">
        <v>163</v>
      </c>
      <c r="B11" s="138">
        <f>D6</f>
        <v>39814</v>
      </c>
      <c r="C11" s="150">
        <f>DATE(YEAR(B11),MONTH(B12),1)</f>
        <v>39873</v>
      </c>
      <c r="D11" s="151">
        <f>EOMONTH(C11,0)</f>
        <v>39903</v>
      </c>
      <c r="E11" s="152"/>
      <c r="G11" s="128"/>
      <c r="H11" s="128"/>
      <c r="I11" s="128"/>
      <c r="J11" s="128"/>
      <c r="K11" s="128"/>
      <c r="L11" s="128"/>
      <c r="M11" s="128"/>
      <c r="N11" s="128"/>
    </row>
    <row r="12" spans="1:14" ht="18.75" thickTop="1" thickBot="1">
      <c r="A12" s="135" t="s">
        <v>164</v>
      </c>
      <c r="B12" s="138">
        <v>45016</v>
      </c>
      <c r="C12" s="150">
        <f>DATE(YEAR(B12),MONTH(B12),1)</f>
        <v>44986</v>
      </c>
      <c r="D12" s="151">
        <f>DATE(YEAR(C12),MONTH(C12),1)</f>
        <v>44986</v>
      </c>
      <c r="E12" s="152"/>
      <c r="G12" s="128"/>
      <c r="H12" s="128"/>
      <c r="I12" s="128"/>
      <c r="J12" s="128"/>
      <c r="K12" s="128"/>
      <c r="L12" s="128"/>
      <c r="M12" s="128"/>
      <c r="N12" s="128"/>
    </row>
    <row r="13" spans="1:14" ht="18.75" thickTop="1" thickBot="1">
      <c r="C13" s="153">
        <f>DATE(YEAR(G7),MONTH(G7),1)</f>
        <v>76489</v>
      </c>
      <c r="D13" s="154"/>
      <c r="E13"/>
      <c r="F13" s="128"/>
      <c r="G13" s="132" t="s">
        <v>18</v>
      </c>
      <c r="H13" s="132"/>
      <c r="I13" s="132"/>
      <c r="J13" s="132"/>
      <c r="K13" s="132"/>
      <c r="L13" s="132"/>
      <c r="M13" s="132"/>
      <c r="N13" s="132"/>
    </row>
    <row r="14" spans="1:14" ht="18.75" thickTop="1" thickBot="1">
      <c r="G14" s="133"/>
      <c r="H14" s="133"/>
      <c r="I14" s="133"/>
      <c r="J14" s="133"/>
      <c r="K14" s="133"/>
      <c r="L14" s="133"/>
      <c r="M14" s="133"/>
      <c r="N14" s="133"/>
    </row>
    <row r="15" spans="1:14" ht="18.75" thickTop="1" thickBot="1">
      <c r="A15" s="128"/>
      <c r="G15" s="128">
        <v>1</v>
      </c>
      <c r="H15" s="128"/>
      <c r="I15" s="128"/>
      <c r="J15" s="130"/>
      <c r="K15" s="128"/>
      <c r="L15" s="128"/>
      <c r="M15" s="128"/>
      <c r="N15" s="128"/>
    </row>
    <row r="16" spans="1:14" ht="18.75" thickTop="1" thickBot="1">
      <c r="A16" s="128"/>
      <c r="B16" s="128"/>
      <c r="G16" s="128">
        <v>2</v>
      </c>
      <c r="H16" s="128" t="s">
        <v>1</v>
      </c>
      <c r="I16" s="130">
        <v>40116</v>
      </c>
      <c r="J16" s="130"/>
      <c r="K16" s="128"/>
      <c r="L16" s="128"/>
      <c r="M16" s="128"/>
      <c r="N16" s="128"/>
    </row>
    <row r="17" spans="1:14" ht="18.75" thickTop="1" thickBot="1">
      <c r="A17" s="128"/>
      <c r="B17" s="128"/>
      <c r="C17" s="128"/>
      <c r="D17" s="128"/>
      <c r="E17" s="128"/>
      <c r="F17" s="128"/>
      <c r="G17" s="128">
        <v>3</v>
      </c>
      <c r="H17" s="128" t="s">
        <v>2</v>
      </c>
      <c r="I17" s="130">
        <v>40708</v>
      </c>
      <c r="J17" s="130"/>
      <c r="K17" s="128"/>
      <c r="L17" s="128"/>
      <c r="M17" s="128"/>
      <c r="N17" s="128"/>
    </row>
    <row r="18" spans="1:14" ht="18.75" thickTop="1" thickBot="1">
      <c r="A18" s="128"/>
      <c r="B18" s="128"/>
      <c r="C18" s="128" t="s">
        <v>4</v>
      </c>
      <c r="D18" s="128"/>
      <c r="E18" s="128"/>
      <c r="F18" s="128"/>
      <c r="G18" s="128">
        <v>4</v>
      </c>
      <c r="H18" s="128" t="s">
        <v>3</v>
      </c>
      <c r="I18" s="130">
        <v>40723</v>
      </c>
      <c r="J18" s="130"/>
      <c r="K18" s="128"/>
      <c r="L18" s="128"/>
      <c r="M18" s="128"/>
      <c r="N18" s="128"/>
    </row>
    <row r="19" spans="1:14" ht="18.75" thickTop="1" thickBot="1">
      <c r="A19" s="128"/>
      <c r="B19" s="128"/>
      <c r="C19" s="129"/>
      <c r="D19" s="129"/>
      <c r="E19" s="129"/>
      <c r="F19" s="128"/>
      <c r="G19" s="128">
        <v>5</v>
      </c>
      <c r="H19" s="128" t="s">
        <v>4</v>
      </c>
      <c r="I19" s="130">
        <v>43214</v>
      </c>
      <c r="J19" s="130"/>
      <c r="K19" s="128"/>
      <c r="L19" s="128"/>
      <c r="M19" s="128"/>
      <c r="N19" s="128"/>
    </row>
    <row r="20" spans="1:14" ht="18.75" thickTop="1" thickBot="1">
      <c r="A20" s="128"/>
      <c r="B20" s="128"/>
      <c r="C20" s="131"/>
      <c r="D20" s="131"/>
      <c r="E20" s="131"/>
      <c r="F20" s="128"/>
      <c r="G20" s="128">
        <v>6</v>
      </c>
      <c r="H20" s="128"/>
      <c r="I20" s="128"/>
      <c r="J20" s="128"/>
      <c r="K20" s="128"/>
      <c r="L20" s="128"/>
      <c r="M20" s="128"/>
      <c r="N20" s="128"/>
    </row>
    <row r="21" spans="1:14" ht="18.75" thickTop="1" thickBot="1">
      <c r="A21" s="128"/>
      <c r="B21" s="128"/>
      <c r="C21" s="128"/>
      <c r="D21" s="128"/>
      <c r="E21" s="128"/>
      <c r="F21" s="128"/>
      <c r="G21" s="128">
        <v>7</v>
      </c>
      <c r="H21" s="128"/>
      <c r="I21" s="128"/>
      <c r="J21" s="128"/>
      <c r="K21" s="128"/>
      <c r="L21" s="128"/>
      <c r="M21" s="128"/>
      <c r="N21" s="128"/>
    </row>
    <row r="22" spans="1:14" ht="18.75" thickTop="1" thickBot="1">
      <c r="A22" s="128"/>
      <c r="B22" s="128"/>
      <c r="C22" s="128"/>
      <c r="D22" s="128"/>
      <c r="E22" s="128"/>
      <c r="F22" s="128"/>
      <c r="G22" s="128">
        <v>8</v>
      </c>
      <c r="H22" s="128"/>
      <c r="I22" s="128"/>
      <c r="J22" s="128"/>
      <c r="K22" s="128"/>
      <c r="L22" s="128"/>
      <c r="M22" s="128"/>
      <c r="N22" s="128"/>
    </row>
    <row r="23" spans="1:14" ht="18.75" thickTop="1" thickBo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</row>
    <row r="24" spans="1:14" ht="16.5" thickTop="1">
      <c r="K24" s="7"/>
      <c r="L24" s="7"/>
      <c r="M24" s="7"/>
      <c r="N24" s="7"/>
    </row>
    <row r="25" spans="1:14">
      <c r="K25" s="7"/>
      <c r="L25" s="7"/>
      <c r="M25" s="7"/>
      <c r="N25" s="7"/>
    </row>
    <row r="26" spans="1:14">
      <c r="K26" s="7"/>
      <c r="L26" s="7"/>
      <c r="M26" s="7"/>
      <c r="N26" s="7"/>
    </row>
    <row r="27" spans="1:14">
      <c r="K27" s="7"/>
      <c r="L27" s="7"/>
      <c r="M27" s="7"/>
      <c r="N27" s="7"/>
    </row>
    <row r="28" spans="1:14">
      <c r="H28" s="36" t="s">
        <v>83</v>
      </c>
      <c r="I28" s="5" t="s">
        <v>101</v>
      </c>
      <c r="K28" s="7"/>
      <c r="L28" s="7"/>
      <c r="M28" s="7"/>
      <c r="N28" s="7"/>
    </row>
    <row r="29" spans="1:14">
      <c r="K29" s="7"/>
      <c r="L29" s="7"/>
      <c r="M29" s="7"/>
      <c r="N29" s="7"/>
    </row>
    <row r="30" spans="1:14">
      <c r="G30" s="7">
        <v>9</v>
      </c>
      <c r="H30" s="7" t="s">
        <v>8</v>
      </c>
      <c r="J30" s="34"/>
      <c r="K30" s="7"/>
      <c r="L30" s="7"/>
      <c r="M30" s="7"/>
      <c r="N30" s="7"/>
    </row>
    <row r="31" spans="1:14">
      <c r="G31" s="7">
        <v>10</v>
      </c>
      <c r="J31" s="33"/>
      <c r="K31" s="7"/>
      <c r="L31" s="7"/>
      <c r="M31" s="7"/>
      <c r="N31" s="7"/>
    </row>
    <row r="32" spans="1:14">
      <c r="G32" s="7">
        <v>11</v>
      </c>
      <c r="H32" s="7" t="s">
        <v>12</v>
      </c>
      <c r="I32" s="35">
        <f>ROUND(B7*D8*D4/365,0)</f>
        <v>273541</v>
      </c>
      <c r="J32" s="33"/>
      <c r="K32" s="7"/>
      <c r="L32" s="7"/>
      <c r="M32" s="7"/>
      <c r="N32" s="7"/>
    </row>
    <row r="33" spans="1:14">
      <c r="G33" s="7">
        <v>12</v>
      </c>
      <c r="H33" s="7" t="s">
        <v>13</v>
      </c>
      <c r="I33" s="7">
        <f>N37</f>
        <v>0</v>
      </c>
      <c r="J33" s="33"/>
      <c r="K33" s="7"/>
      <c r="L33" s="7"/>
      <c r="M33" s="7"/>
      <c r="N33" s="7"/>
    </row>
    <row r="34" spans="1:14">
      <c r="G34" s="7">
        <v>13</v>
      </c>
      <c r="H34" s="7" t="s">
        <v>14</v>
      </c>
      <c r="I34" s="7">
        <f>I32+I33</f>
        <v>273541</v>
      </c>
      <c r="J34" s="33"/>
      <c r="K34" s="7"/>
      <c r="L34" s="7"/>
      <c r="M34" s="7"/>
      <c r="N34" s="7"/>
    </row>
    <row r="35" spans="1:14">
      <c r="G35" s="9"/>
      <c r="H35" s="7"/>
      <c r="I35" s="7"/>
      <c r="J35" s="10"/>
      <c r="K35" s="7"/>
      <c r="L35" s="7"/>
      <c r="M35" s="7"/>
      <c r="N35" s="7"/>
    </row>
    <row r="36" spans="1:14">
      <c r="G36" s="9"/>
      <c r="H36" s="7"/>
      <c r="I36" s="7"/>
      <c r="J36" s="10"/>
      <c r="K36" s="7"/>
      <c r="L36" s="7"/>
      <c r="M36" s="7"/>
      <c r="N36" s="7"/>
    </row>
    <row r="37" spans="1:14">
      <c r="G37" s="9"/>
      <c r="H37" s="7"/>
      <c r="I37" s="7"/>
      <c r="J37" s="11"/>
      <c r="K37" s="7"/>
      <c r="L37" s="7"/>
      <c r="M37" s="11"/>
      <c r="N37" s="7"/>
    </row>
    <row r="40" spans="1:14">
      <c r="A40" s="124">
        <v>39752</v>
      </c>
    </row>
    <row r="41" spans="1:14">
      <c r="A41" s="124">
        <v>41173</v>
      </c>
    </row>
    <row r="43" spans="1:14">
      <c r="A43" s="125">
        <f>DATEDIF(A40,A41,"Y")</f>
        <v>3</v>
      </c>
    </row>
    <row r="44" spans="1:14">
      <c r="A44" s="125">
        <f>DATEDIF(A40,A41,"YM")</f>
        <v>10</v>
      </c>
      <c r="B44" s="5">
        <v>9</v>
      </c>
    </row>
    <row r="45" spans="1:14">
      <c r="A45" s="125">
        <f>DATEDIF(A40,A41,"MD")</f>
        <v>20</v>
      </c>
    </row>
    <row r="47" spans="1:14">
      <c r="A47" s="126" t="str">
        <f>DATEDIF(A40,A41,"Y")&amp;" Years "&amp;DATEDIF(A40,A41,"YM")&amp;" Months "&amp;DATEDIF(A40,A41,"MD")&amp;" Days"</f>
        <v>3 Years 10 Months 20 Days</v>
      </c>
      <c r="B47" s="127"/>
    </row>
  </sheetData>
  <mergeCells count="5">
    <mergeCell ref="G13:N13"/>
    <mergeCell ref="B3:C3"/>
    <mergeCell ref="D3:E3"/>
    <mergeCell ref="D11:E11"/>
    <mergeCell ref="D12:E12"/>
  </mergeCells>
  <pageMargins left="0.4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73"/>
  <sheetViews>
    <sheetView topLeftCell="A64" workbookViewId="0">
      <selection activeCell="D77" sqref="D77"/>
    </sheetView>
  </sheetViews>
  <sheetFormatPr defaultRowHeight="15"/>
  <cols>
    <col min="2" max="3" width="13.42578125" bestFit="1" customWidth="1"/>
  </cols>
  <sheetData>
    <row r="3" spans="2:3">
      <c r="B3" t="s">
        <v>80</v>
      </c>
      <c r="C3">
        <v>6583</v>
      </c>
    </row>
    <row r="4" spans="2:3">
      <c r="B4" t="s">
        <v>81</v>
      </c>
      <c r="C4">
        <f>ROUND(C3*1.86,0)</f>
        <v>12244</v>
      </c>
    </row>
    <row r="5" spans="2:3">
      <c r="B5" t="s">
        <v>82</v>
      </c>
      <c r="C5">
        <f>ROUND(C4*2.57,0)</f>
        <v>31467</v>
      </c>
    </row>
    <row r="72" spans="2:11" ht="15.75" thickBot="1"/>
    <row r="73" spans="2:11" ht="18" customHeight="1" thickBot="1">
      <c r="B73" s="1">
        <v>42036</v>
      </c>
      <c r="C73" s="1">
        <v>42126</v>
      </c>
      <c r="D73" s="1"/>
      <c r="E73" s="1"/>
      <c r="F73" s="1"/>
      <c r="G73" s="1"/>
      <c r="H73" s="2">
        <f>IF(B73&gt;0,C73-B73+1,"")</f>
        <v>91</v>
      </c>
      <c r="I73" s="3">
        <f>IF(H73="","",INT((C73-B73)/365.25))</f>
        <v>0</v>
      </c>
      <c r="J73" s="3">
        <f>IF(H73="","",INT(MOD((C73-B73)/365.25,1)*12))</f>
        <v>2</v>
      </c>
      <c r="K73" s="3">
        <f>IF(H73="","",INT(MOD((C73-B73)/30.4375,1)*30.4375)+1)</f>
        <v>30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H17" sqref="H17"/>
    </sheetView>
  </sheetViews>
  <sheetFormatPr defaultRowHeight="15"/>
  <cols>
    <col min="2" max="2" width="25.7109375" bestFit="1" customWidth="1"/>
    <col min="3" max="3" width="11.85546875" bestFit="1" customWidth="1"/>
    <col min="8" max="8" width="15.5703125" bestFit="1" customWidth="1"/>
    <col min="9" max="9" width="14.85546875" bestFit="1" customWidth="1"/>
  </cols>
  <sheetData>
    <row r="1" spans="1:10" ht="18.75">
      <c r="A1" s="4" t="s">
        <v>17</v>
      </c>
      <c r="B1" s="4" t="s">
        <v>16</v>
      </c>
      <c r="C1" s="4" t="s">
        <v>15</v>
      </c>
      <c r="H1" s="16" t="s">
        <v>28</v>
      </c>
      <c r="I1" s="17">
        <v>37135</v>
      </c>
    </row>
    <row r="2" spans="1:10" ht="18.75">
      <c r="A2" s="7">
        <v>1</v>
      </c>
      <c r="B2" s="7" t="s">
        <v>0</v>
      </c>
      <c r="C2" s="8">
        <v>37135</v>
      </c>
      <c r="H2" s="16" t="s">
        <v>29</v>
      </c>
      <c r="I2" s="17">
        <v>38230</v>
      </c>
    </row>
    <row r="3" spans="1:10" ht="18.75">
      <c r="A3" s="7">
        <v>2</v>
      </c>
      <c r="B3" s="7" t="s">
        <v>1</v>
      </c>
      <c r="C3" s="8">
        <v>40116</v>
      </c>
      <c r="H3" s="18"/>
      <c r="I3" s="18"/>
    </row>
    <row r="4" spans="1:10" ht="18.75">
      <c r="A4" s="7">
        <v>3</v>
      </c>
      <c r="B4" s="7" t="s">
        <v>2</v>
      </c>
      <c r="C4" s="8">
        <v>40708</v>
      </c>
      <c r="H4" s="19" t="s">
        <v>30</v>
      </c>
      <c r="I4" s="19">
        <f>DATEDIF(I1,I2,"Y")</f>
        <v>2</v>
      </c>
    </row>
    <row r="5" spans="1:10" ht="18.75">
      <c r="A5" s="7">
        <v>4</v>
      </c>
      <c r="B5" s="7" t="s">
        <v>3</v>
      </c>
      <c r="C5" s="8">
        <v>40723</v>
      </c>
      <c r="H5" s="19" t="s">
        <v>26</v>
      </c>
      <c r="I5" s="19">
        <f>DATEDIF(I1,I2,"YM")</f>
        <v>11</v>
      </c>
      <c r="J5">
        <v>9</v>
      </c>
    </row>
    <row r="6" spans="1:10" ht="18.75">
      <c r="A6" s="7">
        <v>5</v>
      </c>
      <c r="B6" s="7" t="s">
        <v>4</v>
      </c>
      <c r="C6" s="8">
        <v>37135</v>
      </c>
      <c r="H6" s="19" t="s">
        <v>27</v>
      </c>
      <c r="I6" s="19">
        <f>DATEDIF(I1,I2,"MD")</f>
        <v>30</v>
      </c>
    </row>
    <row r="7" spans="1:10" ht="18.75">
      <c r="A7" s="7">
        <v>6</v>
      </c>
      <c r="B7" s="7" t="s">
        <v>5</v>
      </c>
      <c r="C7" s="8">
        <v>38230</v>
      </c>
      <c r="H7" s="18"/>
      <c r="I7" s="18"/>
    </row>
    <row r="8" spans="1:10" ht="18.75">
      <c r="A8" s="7">
        <v>7</v>
      </c>
      <c r="B8" s="7" t="s">
        <v>6</v>
      </c>
      <c r="C8" s="8">
        <v>37135</v>
      </c>
      <c r="D8" t="s">
        <v>25</v>
      </c>
      <c r="E8" t="s">
        <v>26</v>
      </c>
      <c r="F8" t="s">
        <v>27</v>
      </c>
      <c r="H8" s="20" t="s">
        <v>31</v>
      </c>
      <c r="I8" s="21" t="str">
        <f>DATEDIF(I1,I2,"Y")&amp;" Years "&amp;DATEDIF(I1,I2,"YM")&amp;" Months "&amp;DATEDIF(I1,I2,"MD")&amp;" Days"</f>
        <v>2 Years 11 Months 30 Days</v>
      </c>
      <c r="J8" s="15"/>
    </row>
    <row r="9" spans="1:10" ht="15.75">
      <c r="A9" s="37">
        <v>8</v>
      </c>
      <c r="B9" s="37" t="s">
        <v>7</v>
      </c>
      <c r="C9" s="37">
        <f>C7-C8</f>
        <v>1095</v>
      </c>
      <c r="D9" s="14" t="e">
        <f>DATE(C7,C8,"y")</f>
        <v>#VALUE!</v>
      </c>
    </row>
    <row r="10" spans="1:10" ht="15.75">
      <c r="A10" s="7"/>
      <c r="B10" s="7" t="s">
        <v>84</v>
      </c>
      <c r="C10" s="7">
        <v>60</v>
      </c>
      <c r="D10" s="14"/>
    </row>
    <row r="11" spans="1:10" ht="15.75">
      <c r="A11" s="38"/>
      <c r="B11" s="37" t="s">
        <v>85</v>
      </c>
      <c r="C11" s="38">
        <f>C9-C10</f>
        <v>1035</v>
      </c>
    </row>
    <row r="12" spans="1:10" ht="15.75">
      <c r="A12" s="7">
        <v>9</v>
      </c>
      <c r="B12" s="7" t="s">
        <v>8</v>
      </c>
      <c r="C12" s="10">
        <v>0.09</v>
      </c>
    </row>
    <row r="13" spans="1:10" ht="15.75">
      <c r="A13" s="7">
        <v>10</v>
      </c>
      <c r="B13" s="7" t="s">
        <v>9</v>
      </c>
      <c r="C13" s="7">
        <v>180642</v>
      </c>
    </row>
    <row r="14" spans="1:10" ht="15.75">
      <c r="A14" s="37">
        <v>11</v>
      </c>
      <c r="B14" s="37" t="s">
        <v>12</v>
      </c>
      <c r="C14" s="37">
        <f>ROUND(C13*C12*C11/365,0)</f>
        <v>46101</v>
      </c>
      <c r="H14">
        <f>$C$13*$C$12*I4</f>
        <v>32515.559999999998</v>
      </c>
    </row>
    <row r="15" spans="1:10">
      <c r="H15">
        <f>$C$13*$C$12*J5/12</f>
        <v>12193.334999999999</v>
      </c>
    </row>
    <row r="16" spans="1:10">
      <c r="H16">
        <f>$C$13*$C$12*I6/360</f>
        <v>1354.8149999999998</v>
      </c>
    </row>
    <row r="17" spans="8:8">
      <c r="H17">
        <f>SUM(H14:H16)</f>
        <v>46063.71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sqref="A1:H6"/>
    </sheetView>
  </sheetViews>
  <sheetFormatPr defaultRowHeight="15"/>
  <sheetData>
    <row r="1" spans="1:8" ht="15.75">
      <c r="A1" s="12" t="s">
        <v>20</v>
      </c>
      <c r="B1" s="5" t="s">
        <v>21</v>
      </c>
      <c r="C1" s="5"/>
      <c r="D1" s="5"/>
      <c r="E1" s="5"/>
      <c r="F1" s="5"/>
      <c r="G1" s="5"/>
      <c r="H1" s="5"/>
    </row>
    <row r="2" spans="1:8" ht="15.75">
      <c r="A2" s="12"/>
      <c r="B2" s="13">
        <v>1</v>
      </c>
      <c r="C2" s="116" t="s">
        <v>22</v>
      </c>
      <c r="D2" s="116"/>
      <c r="E2" s="116"/>
      <c r="F2" s="116"/>
      <c r="G2" s="116"/>
      <c r="H2" s="116"/>
    </row>
    <row r="3" spans="1:8" ht="15.75">
      <c r="A3" s="5"/>
      <c r="B3" s="13"/>
      <c r="C3" s="116"/>
      <c r="D3" s="116"/>
      <c r="E3" s="116"/>
      <c r="F3" s="116"/>
      <c r="G3" s="116"/>
      <c r="H3" s="116"/>
    </row>
    <row r="4" spans="1:8" ht="15.75">
      <c r="A4" s="5"/>
      <c r="B4" s="13">
        <v>2</v>
      </c>
      <c r="C4" s="116" t="s">
        <v>23</v>
      </c>
      <c r="D4" s="116"/>
      <c r="E4" s="116"/>
      <c r="F4" s="116"/>
      <c r="G4" s="116"/>
      <c r="H4" s="116"/>
    </row>
    <row r="5" spans="1:8" ht="15.75">
      <c r="A5" s="5"/>
      <c r="B5" s="13"/>
      <c r="C5" s="116"/>
      <c r="D5" s="116"/>
      <c r="E5" s="116"/>
      <c r="F5" s="116"/>
      <c r="G5" s="116"/>
      <c r="H5" s="116"/>
    </row>
    <row r="6" spans="1:8" ht="15.75">
      <c r="A6" s="5"/>
      <c r="B6" s="13">
        <v>3</v>
      </c>
      <c r="C6" s="5" t="s">
        <v>24</v>
      </c>
      <c r="D6" s="5"/>
      <c r="E6" s="5"/>
      <c r="F6" s="5"/>
      <c r="G6" s="5"/>
      <c r="H6" s="5"/>
    </row>
  </sheetData>
  <mergeCells count="2">
    <mergeCell ref="C2:H3"/>
    <mergeCell ref="C4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D4" sqref="D4"/>
    </sheetView>
  </sheetViews>
  <sheetFormatPr defaultRowHeight="15"/>
  <cols>
    <col min="1" max="2" width="15.140625" bestFit="1" customWidth="1"/>
    <col min="3" max="3" width="24" bestFit="1" customWidth="1"/>
  </cols>
  <sheetData>
    <row r="1" spans="1:6" ht="15.75" thickBot="1"/>
    <row r="2" spans="1:6" ht="18.75">
      <c r="A2" s="117" t="s">
        <v>32</v>
      </c>
      <c r="B2" s="118"/>
      <c r="C2" s="118" t="s">
        <v>33</v>
      </c>
      <c r="D2" s="119"/>
      <c r="E2" s="120"/>
      <c r="F2" s="22"/>
    </row>
    <row r="3" spans="1:6" ht="18.75">
      <c r="A3" s="23" t="s">
        <v>34</v>
      </c>
      <c r="B3" s="24" t="s">
        <v>35</v>
      </c>
      <c r="C3" s="24" t="s">
        <v>11</v>
      </c>
      <c r="D3" s="25" t="s">
        <v>36</v>
      </c>
      <c r="E3" s="26" t="s">
        <v>37</v>
      </c>
      <c r="F3" s="26" t="s">
        <v>38</v>
      </c>
    </row>
    <row r="4" spans="1:6" ht="18.75">
      <c r="A4" s="27">
        <v>39083</v>
      </c>
      <c r="B4" s="27">
        <v>39263</v>
      </c>
      <c r="C4" s="28" t="s">
        <v>39</v>
      </c>
      <c r="D4" s="29">
        <v>0.35</v>
      </c>
      <c r="E4" s="29">
        <v>0.06</v>
      </c>
      <c r="F4" s="29"/>
    </row>
    <row r="5" spans="1:6" ht="18.75">
      <c r="A5" s="27">
        <v>39264</v>
      </c>
      <c r="B5" s="27">
        <v>39447</v>
      </c>
      <c r="C5" s="28" t="s">
        <v>40</v>
      </c>
      <c r="D5" s="29">
        <v>0.41</v>
      </c>
      <c r="E5" s="29">
        <v>0.09</v>
      </c>
      <c r="F5" s="29"/>
    </row>
    <row r="6" spans="1:6" ht="18.75">
      <c r="A6" s="27">
        <v>39448</v>
      </c>
      <c r="B6" s="27">
        <v>39629</v>
      </c>
      <c r="C6" s="28" t="s">
        <v>41</v>
      </c>
      <c r="D6" s="29">
        <v>0.47</v>
      </c>
      <c r="E6" s="29">
        <v>0.12</v>
      </c>
      <c r="F6" s="29"/>
    </row>
    <row r="7" spans="1:6" ht="18.75">
      <c r="A7" s="27">
        <v>39630</v>
      </c>
      <c r="B7" s="27">
        <v>39813</v>
      </c>
      <c r="C7" s="28" t="s">
        <v>42</v>
      </c>
      <c r="D7" s="29">
        <v>0.54</v>
      </c>
      <c r="E7" s="29">
        <v>0.16</v>
      </c>
      <c r="F7" s="29"/>
    </row>
    <row r="8" spans="1:6" ht="18.75">
      <c r="A8" s="27">
        <v>39814</v>
      </c>
      <c r="B8" s="27">
        <v>39994</v>
      </c>
      <c r="C8" s="28" t="s">
        <v>43</v>
      </c>
      <c r="D8" s="29">
        <v>0.64</v>
      </c>
      <c r="E8" s="29">
        <v>0.22</v>
      </c>
      <c r="F8" s="29"/>
    </row>
    <row r="9" spans="1:6" ht="18.75">
      <c r="A9" s="27">
        <v>39995</v>
      </c>
      <c r="B9" s="27">
        <v>40178</v>
      </c>
      <c r="C9" s="28" t="s">
        <v>44</v>
      </c>
      <c r="D9" s="29">
        <v>0.73</v>
      </c>
      <c r="E9" s="29">
        <v>0.27</v>
      </c>
      <c r="F9" s="29"/>
    </row>
    <row r="10" spans="1:6" ht="18.75">
      <c r="A10" s="27">
        <v>40179</v>
      </c>
      <c r="B10" s="27">
        <v>40359</v>
      </c>
      <c r="C10" s="28" t="s">
        <v>45</v>
      </c>
      <c r="D10" s="29">
        <v>0.87</v>
      </c>
      <c r="E10" s="29">
        <v>0.35</v>
      </c>
      <c r="F10" s="29"/>
    </row>
    <row r="11" spans="1:6" ht="18.75">
      <c r="A11" s="27">
        <v>40360</v>
      </c>
      <c r="B11" s="27">
        <v>40543</v>
      </c>
      <c r="C11" s="28" t="s">
        <v>46</v>
      </c>
      <c r="D11" s="29">
        <v>1.03</v>
      </c>
      <c r="E11" s="29">
        <v>0.45</v>
      </c>
      <c r="F11" s="29"/>
    </row>
    <row r="12" spans="1:6" ht="18.75">
      <c r="A12" s="27">
        <v>40544</v>
      </c>
      <c r="B12" s="27">
        <v>40724</v>
      </c>
      <c r="C12" s="28" t="s">
        <v>47</v>
      </c>
      <c r="D12" s="29">
        <v>1.1499999999999999</v>
      </c>
      <c r="E12" s="29">
        <v>0.51</v>
      </c>
      <c r="F12" s="29"/>
    </row>
    <row r="13" spans="1:6" ht="18.75">
      <c r="A13" s="27">
        <v>40725</v>
      </c>
      <c r="B13" s="27">
        <v>40908</v>
      </c>
      <c r="C13" s="28" t="s">
        <v>48</v>
      </c>
      <c r="D13" s="29">
        <v>1.27</v>
      </c>
      <c r="E13" s="29">
        <v>0.57999999999999996</v>
      </c>
      <c r="F13" s="29"/>
    </row>
    <row r="14" spans="1:6" ht="18.75">
      <c r="A14" s="27">
        <v>40909</v>
      </c>
      <c r="B14" s="27">
        <v>41090</v>
      </c>
      <c r="C14" s="28" t="s">
        <v>49</v>
      </c>
      <c r="D14" s="29">
        <v>1.39</v>
      </c>
      <c r="E14" s="30">
        <v>0.65</v>
      </c>
      <c r="F14" s="30"/>
    </row>
    <row r="15" spans="1:6" ht="18.75">
      <c r="A15" s="27">
        <v>41091</v>
      </c>
      <c r="B15" s="27">
        <v>41274</v>
      </c>
      <c r="C15" s="28" t="s">
        <v>50</v>
      </c>
      <c r="D15" s="29">
        <v>1.51</v>
      </c>
      <c r="E15" s="30">
        <v>0.72</v>
      </c>
      <c r="F15" s="30"/>
    </row>
    <row r="16" spans="1:6" ht="18.75">
      <c r="A16" s="27">
        <v>41275</v>
      </c>
      <c r="B16" s="27">
        <v>41455</v>
      </c>
      <c r="C16" s="28" t="s">
        <v>51</v>
      </c>
      <c r="D16" s="29">
        <v>1.66</v>
      </c>
      <c r="E16" s="30">
        <v>0.8</v>
      </c>
      <c r="F16" s="30"/>
    </row>
    <row r="17" spans="1:6" ht="18.75">
      <c r="A17" s="27">
        <v>41456</v>
      </c>
      <c r="B17" s="27">
        <v>41639</v>
      </c>
      <c r="C17" s="28" t="s">
        <v>52</v>
      </c>
      <c r="D17" s="29">
        <v>1.83</v>
      </c>
      <c r="E17" s="30">
        <v>0.9</v>
      </c>
      <c r="F17" s="30"/>
    </row>
    <row r="18" spans="1:6" ht="18.75">
      <c r="A18" s="27">
        <v>41640</v>
      </c>
      <c r="B18" s="27">
        <v>41820</v>
      </c>
      <c r="C18" s="28" t="s">
        <v>53</v>
      </c>
      <c r="D18" s="29">
        <v>2</v>
      </c>
      <c r="E18" s="30">
        <v>1</v>
      </c>
      <c r="F18" s="30"/>
    </row>
    <row r="19" spans="1:6" ht="18.75">
      <c r="A19" s="27">
        <v>41821</v>
      </c>
      <c r="B19" s="27">
        <v>42004</v>
      </c>
      <c r="C19" s="28" t="s">
        <v>54</v>
      </c>
      <c r="D19" s="29">
        <v>2.12</v>
      </c>
      <c r="E19" s="30">
        <v>1.07</v>
      </c>
      <c r="F19" s="30"/>
    </row>
    <row r="20" spans="1:6" ht="18.75">
      <c r="A20" s="27">
        <v>42005</v>
      </c>
      <c r="B20" s="27">
        <v>42185</v>
      </c>
      <c r="C20" s="28" t="s">
        <v>55</v>
      </c>
      <c r="D20" s="29">
        <v>2.23</v>
      </c>
      <c r="E20" s="30">
        <v>1.1299999999999999</v>
      </c>
      <c r="F20" s="30"/>
    </row>
    <row r="21" spans="1:6" ht="18.75">
      <c r="A21" s="27">
        <v>42186</v>
      </c>
      <c r="B21" s="27">
        <v>42369</v>
      </c>
      <c r="C21" s="28" t="s">
        <v>56</v>
      </c>
      <c r="D21" s="29">
        <v>2.34</v>
      </c>
      <c r="E21" s="30">
        <v>1.19</v>
      </c>
      <c r="F21" s="30"/>
    </row>
    <row r="22" spans="1:6" ht="18.75">
      <c r="A22" s="27">
        <v>42370</v>
      </c>
      <c r="B22" s="27">
        <v>42551</v>
      </c>
      <c r="C22" s="28" t="s">
        <v>57</v>
      </c>
      <c r="D22" s="29">
        <v>2.4500000000000002</v>
      </c>
      <c r="E22" s="30">
        <v>1.25</v>
      </c>
      <c r="F22" s="30">
        <v>0</v>
      </c>
    </row>
    <row r="23" spans="1:6" ht="18.75">
      <c r="A23" s="27">
        <v>42552</v>
      </c>
      <c r="B23" s="27">
        <v>42735</v>
      </c>
      <c r="C23" s="28" t="s">
        <v>58</v>
      </c>
      <c r="D23" s="29">
        <v>2.57</v>
      </c>
      <c r="E23" s="30">
        <v>1.32</v>
      </c>
      <c r="F23" s="30">
        <v>0.02</v>
      </c>
    </row>
    <row r="24" spans="1:6" ht="18.75">
      <c r="A24" s="27">
        <v>42736</v>
      </c>
      <c r="B24" s="27">
        <v>42916</v>
      </c>
      <c r="C24" s="28" t="s">
        <v>59</v>
      </c>
      <c r="D24" s="29">
        <v>2.64</v>
      </c>
      <c r="E24" s="30">
        <v>1.36</v>
      </c>
      <c r="F24" s="30">
        <v>0.04</v>
      </c>
    </row>
    <row r="25" spans="1:6" ht="18.75">
      <c r="A25" s="27">
        <v>42917</v>
      </c>
      <c r="B25" s="27">
        <v>43100</v>
      </c>
      <c r="C25" s="28" t="s">
        <v>60</v>
      </c>
      <c r="D25" s="29">
        <v>2.68</v>
      </c>
      <c r="E25" s="30">
        <v>1.39</v>
      </c>
      <c r="F25" s="30">
        <v>0.05</v>
      </c>
    </row>
    <row r="26" spans="1:6" ht="18.75">
      <c r="A26" s="27">
        <v>43101</v>
      </c>
      <c r="B26" s="27">
        <v>43281</v>
      </c>
      <c r="C26" s="28" t="s">
        <v>61</v>
      </c>
      <c r="D26" s="29">
        <v>2.74</v>
      </c>
      <c r="E26" s="30">
        <v>1.42</v>
      </c>
      <c r="F26" s="30">
        <v>7.0000000000000007E-2</v>
      </c>
    </row>
    <row r="27" spans="1:6" ht="18.75">
      <c r="A27" s="27">
        <v>43282</v>
      </c>
      <c r="B27" s="27">
        <v>43465</v>
      </c>
      <c r="C27" s="28" t="s">
        <v>62</v>
      </c>
      <c r="D27" s="29">
        <v>2.84</v>
      </c>
      <c r="E27" s="30">
        <v>1.48</v>
      </c>
      <c r="F27" s="30">
        <v>0.09</v>
      </c>
    </row>
    <row r="28" spans="1:6" ht="18.75">
      <c r="A28" s="27">
        <v>43466</v>
      </c>
      <c r="B28" s="27">
        <v>43646</v>
      </c>
      <c r="C28" s="28" t="s">
        <v>63</v>
      </c>
      <c r="D28" s="29">
        <v>2.95</v>
      </c>
      <c r="E28" s="30">
        <v>1.54</v>
      </c>
      <c r="F28" s="30">
        <v>0.12</v>
      </c>
    </row>
    <row r="29" spans="1:6" ht="18.75">
      <c r="A29" s="27">
        <v>43647</v>
      </c>
      <c r="B29" s="27">
        <v>43830</v>
      </c>
      <c r="C29" s="28" t="s">
        <v>64</v>
      </c>
      <c r="D29" s="29">
        <v>3.12</v>
      </c>
      <c r="E29" s="30">
        <v>1.64</v>
      </c>
      <c r="F29" s="30">
        <v>0.17</v>
      </c>
    </row>
    <row r="30" spans="1:6" ht="18.75">
      <c r="A30" s="31">
        <v>43831</v>
      </c>
      <c r="B30" s="31">
        <v>44012</v>
      </c>
      <c r="C30" s="28" t="s">
        <v>65</v>
      </c>
      <c r="D30" s="32">
        <v>3.12</v>
      </c>
      <c r="E30" s="32">
        <v>1.64</v>
      </c>
      <c r="F30" s="32">
        <v>0.17</v>
      </c>
    </row>
    <row r="31" spans="1:6" ht="18.75">
      <c r="A31" s="31">
        <v>44013</v>
      </c>
      <c r="B31" s="31">
        <v>44196</v>
      </c>
      <c r="C31" s="28" t="s">
        <v>66</v>
      </c>
      <c r="D31" s="32">
        <v>3.12</v>
      </c>
      <c r="E31" s="32">
        <v>1.64</v>
      </c>
      <c r="F31" s="32">
        <v>0.17</v>
      </c>
    </row>
    <row r="32" spans="1:6" ht="18.75">
      <c r="A32" s="31">
        <v>44197</v>
      </c>
      <c r="B32" s="31">
        <v>44377</v>
      </c>
      <c r="C32" s="28" t="s">
        <v>67</v>
      </c>
      <c r="D32" s="32">
        <v>3.12</v>
      </c>
      <c r="E32" s="32">
        <v>1.64</v>
      </c>
      <c r="F32" s="32">
        <v>0.17</v>
      </c>
    </row>
    <row r="33" spans="1:6" ht="18.75">
      <c r="A33" s="31">
        <v>44378</v>
      </c>
      <c r="B33" s="31">
        <v>44561</v>
      </c>
      <c r="C33" s="28" t="s">
        <v>68</v>
      </c>
      <c r="D33" s="32">
        <v>3.68</v>
      </c>
      <c r="E33" s="32">
        <v>1.96</v>
      </c>
      <c r="F33" s="32">
        <v>0.31</v>
      </c>
    </row>
    <row r="34" spans="1:6" ht="18.75">
      <c r="A34" s="31">
        <v>44562</v>
      </c>
      <c r="B34" s="31">
        <v>44742</v>
      </c>
      <c r="C34" s="28" t="s">
        <v>69</v>
      </c>
      <c r="D34" s="32">
        <v>3.81</v>
      </c>
      <c r="E34" s="32">
        <v>2.0299999999999998</v>
      </c>
      <c r="F34" s="32">
        <v>0.34</v>
      </c>
    </row>
    <row r="35" spans="1:6" ht="18.75">
      <c r="A35" s="31">
        <v>44743</v>
      </c>
      <c r="B35" s="31">
        <v>44926</v>
      </c>
      <c r="C35" s="28" t="s">
        <v>70</v>
      </c>
      <c r="D35" s="32">
        <v>3.96</v>
      </c>
      <c r="E35" s="32">
        <v>2.12</v>
      </c>
      <c r="F35" s="32">
        <v>0.38</v>
      </c>
    </row>
    <row r="36" spans="1:6" ht="18.75">
      <c r="A36" s="31">
        <v>44927</v>
      </c>
      <c r="B36" s="31">
        <v>45107</v>
      </c>
      <c r="C36" s="28" t="s">
        <v>95</v>
      </c>
      <c r="D36" s="32">
        <v>3.96</v>
      </c>
      <c r="E36" s="32">
        <v>2.12</v>
      </c>
      <c r="F36" s="32">
        <v>0.42</v>
      </c>
    </row>
    <row r="37" spans="1:6" ht="18.75">
      <c r="A37" s="31">
        <v>45108</v>
      </c>
      <c r="B37" s="31">
        <v>45291</v>
      </c>
      <c r="C37" s="28" t="s">
        <v>96</v>
      </c>
      <c r="D37" s="32">
        <v>3.96</v>
      </c>
      <c r="E37" s="32">
        <v>2.12</v>
      </c>
      <c r="F37" s="32">
        <v>0.42</v>
      </c>
    </row>
    <row r="38" spans="1:6" ht="18.75">
      <c r="A38" s="31">
        <v>45292</v>
      </c>
      <c r="B38" s="31">
        <v>45473</v>
      </c>
      <c r="C38" s="28" t="s">
        <v>97</v>
      </c>
      <c r="D38" s="32">
        <v>3.96</v>
      </c>
      <c r="E38" s="32">
        <v>2.12</v>
      </c>
      <c r="F38" s="32">
        <v>0.42</v>
      </c>
    </row>
    <row r="39" spans="1:6" ht="18.75">
      <c r="A39" s="31">
        <v>45474</v>
      </c>
      <c r="B39" s="31">
        <v>45657</v>
      </c>
      <c r="C39" s="28" t="s">
        <v>98</v>
      </c>
      <c r="D39" s="32">
        <v>3.96</v>
      </c>
      <c r="E39" s="32">
        <v>2.12</v>
      </c>
      <c r="F39" s="32">
        <v>0.42</v>
      </c>
    </row>
  </sheetData>
  <mergeCells count="2">
    <mergeCell ref="A2:B2"/>
    <mergeCell ref="C2:E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G11" sqref="G11"/>
    </sheetView>
  </sheetViews>
  <sheetFormatPr defaultRowHeight="15"/>
  <cols>
    <col min="7" max="7" width="26.5703125" customWidth="1"/>
  </cols>
  <sheetData>
    <row r="1" spans="1:7" ht="26.25">
      <c r="A1" s="122" t="s">
        <v>86</v>
      </c>
      <c r="B1" s="122"/>
      <c r="C1" s="122"/>
      <c r="D1" s="122"/>
      <c r="E1" s="122"/>
      <c r="F1" s="122"/>
      <c r="G1" s="122"/>
    </row>
    <row r="2" spans="1:7" ht="26.25">
      <c r="A2" s="40"/>
      <c r="B2" s="40"/>
      <c r="C2" s="40"/>
      <c r="D2" s="40"/>
      <c r="E2" s="40"/>
      <c r="F2" s="40"/>
      <c r="G2" s="40"/>
    </row>
    <row r="3" spans="1:7" ht="20.25" customHeight="1">
      <c r="A3" s="123" t="s">
        <v>94</v>
      </c>
      <c r="B3" s="123"/>
      <c r="C3" s="123"/>
      <c r="D3" s="123"/>
      <c r="E3" s="123"/>
      <c r="F3" s="123"/>
      <c r="G3" s="123"/>
    </row>
    <row r="4" spans="1:7" ht="20.25" customHeight="1">
      <c r="A4" s="123"/>
      <c r="B4" s="123"/>
      <c r="C4" s="123"/>
      <c r="D4" s="123"/>
      <c r="E4" s="123"/>
      <c r="F4" s="123"/>
      <c r="G4" s="123"/>
    </row>
    <row r="5" spans="1:7" ht="20.25">
      <c r="A5" s="39"/>
      <c r="B5" s="39"/>
      <c r="C5" s="39"/>
      <c r="D5" s="39"/>
      <c r="E5" s="39"/>
      <c r="F5" s="39"/>
      <c r="G5" s="39"/>
    </row>
    <row r="6" spans="1:7" ht="20.25">
      <c r="A6" s="44">
        <v>1</v>
      </c>
      <c r="B6" s="121" t="s">
        <v>87</v>
      </c>
      <c r="C6" s="121"/>
      <c r="D6" s="121"/>
      <c r="E6" s="121"/>
      <c r="F6" s="121"/>
      <c r="G6" s="8">
        <v>35795</v>
      </c>
    </row>
    <row r="7" spans="1:7" ht="20.25">
      <c r="A7" s="44">
        <v>2</v>
      </c>
      <c r="B7" s="121" t="s">
        <v>88</v>
      </c>
      <c r="C7" s="121"/>
      <c r="D7" s="121"/>
      <c r="E7" s="121"/>
      <c r="F7" s="121"/>
      <c r="G7" s="8">
        <v>35796</v>
      </c>
    </row>
    <row r="8" spans="1:7" ht="20.25">
      <c r="A8" s="44">
        <v>3</v>
      </c>
      <c r="B8" s="121" t="s">
        <v>89</v>
      </c>
      <c r="C8" s="121"/>
      <c r="D8" s="121"/>
      <c r="E8" s="121"/>
      <c r="F8" s="121"/>
      <c r="G8" s="8">
        <v>43214</v>
      </c>
    </row>
    <row r="9" spans="1:7" ht="20.25">
      <c r="A9" s="44">
        <v>4</v>
      </c>
      <c r="B9" s="121" t="s">
        <v>90</v>
      </c>
      <c r="C9" s="121"/>
      <c r="D9" s="121"/>
      <c r="E9" s="121"/>
      <c r="F9" s="121"/>
      <c r="G9" s="41">
        <f>DATEDIF(G7,G8,"M")</f>
        <v>243</v>
      </c>
    </row>
    <row r="10" spans="1:7" ht="20.25">
      <c r="A10" s="44">
        <v>5</v>
      </c>
      <c r="B10" s="121" t="s">
        <v>91</v>
      </c>
      <c r="C10" s="121"/>
      <c r="D10" s="121"/>
      <c r="E10" s="121"/>
      <c r="F10" s="121"/>
      <c r="G10" s="42">
        <v>0.12</v>
      </c>
    </row>
    <row r="11" spans="1:7" ht="20.25">
      <c r="A11" s="44">
        <v>6</v>
      </c>
      <c r="B11" s="121" t="s">
        <v>92</v>
      </c>
      <c r="C11" s="121"/>
      <c r="D11" s="121"/>
      <c r="E11" s="121"/>
      <c r="F11" s="121"/>
      <c r="G11" s="43">
        <v>244712</v>
      </c>
    </row>
    <row r="12" spans="1:7" ht="20.25">
      <c r="A12" s="44">
        <v>7</v>
      </c>
      <c r="B12" s="121" t="s">
        <v>93</v>
      </c>
      <c r="C12" s="121"/>
      <c r="D12" s="121"/>
      <c r="E12" s="121"/>
      <c r="F12" s="121"/>
      <c r="G12" s="43">
        <f>ROUND(G11*G9/12*G10,0)</f>
        <v>594650</v>
      </c>
    </row>
  </sheetData>
  <mergeCells count="9">
    <mergeCell ref="B10:F10"/>
    <mergeCell ref="B11:F11"/>
    <mergeCell ref="B12:F12"/>
    <mergeCell ref="A1:G1"/>
    <mergeCell ref="A3:G4"/>
    <mergeCell ref="B6:F6"/>
    <mergeCell ref="B7:F7"/>
    <mergeCell ref="B8:F8"/>
    <mergeCell ref="B9:F9"/>
  </mergeCells>
  <pageMargins left="1.0236220472440944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4:F26"/>
  <sheetViews>
    <sheetView workbookViewId="0">
      <selection activeCell="C4" sqref="C4:F26"/>
    </sheetView>
  </sheetViews>
  <sheetFormatPr defaultRowHeight="15"/>
  <cols>
    <col min="3" max="3" width="12.7109375" bestFit="1" customWidth="1"/>
  </cols>
  <sheetData>
    <row r="4" spans="3:6">
      <c r="C4" s="45" t="s">
        <v>8</v>
      </c>
      <c r="D4" s="45"/>
      <c r="E4" s="45" t="s">
        <v>99</v>
      </c>
      <c r="F4" s="45" t="s">
        <v>100</v>
      </c>
    </row>
    <row r="5" spans="3:6">
      <c r="C5" s="46">
        <v>29342</v>
      </c>
      <c r="D5" s="46">
        <v>29646</v>
      </c>
      <c r="E5" s="47">
        <v>8.5000000000000006E-2</v>
      </c>
      <c r="F5" s="47"/>
    </row>
    <row r="6" spans="3:6">
      <c r="C6" s="46">
        <f>EOMONTH(D5,1)</f>
        <v>29706</v>
      </c>
      <c r="D6" s="46">
        <v>30376</v>
      </c>
      <c r="E6" s="47">
        <v>0.09</v>
      </c>
      <c r="F6" s="47"/>
    </row>
    <row r="7" spans="3:6">
      <c r="C7" s="46">
        <f t="shared" ref="C7:C25" si="0">EOMONTH(D6,1)</f>
        <v>30436</v>
      </c>
      <c r="D7" s="46">
        <v>30742</v>
      </c>
      <c r="E7" s="47">
        <v>9.5000000000000001E-2</v>
      </c>
      <c r="F7" s="47">
        <v>0.01</v>
      </c>
    </row>
    <row r="8" spans="3:6">
      <c r="C8" s="46">
        <f t="shared" si="0"/>
        <v>30802</v>
      </c>
      <c r="D8" s="46">
        <v>31107</v>
      </c>
      <c r="E8" s="47">
        <v>0.1</v>
      </c>
      <c r="F8" s="47">
        <v>0.01</v>
      </c>
    </row>
    <row r="9" spans="3:6">
      <c r="C9" s="46">
        <f t="shared" si="0"/>
        <v>31167</v>
      </c>
      <c r="D9" s="46">
        <v>31472</v>
      </c>
      <c r="E9" s="47">
        <v>0.105</v>
      </c>
      <c r="F9" s="47"/>
    </row>
    <row r="10" spans="3:6">
      <c r="C10" s="46">
        <f t="shared" si="0"/>
        <v>31532</v>
      </c>
      <c r="D10" s="46">
        <v>36586</v>
      </c>
      <c r="E10" s="47">
        <v>0.12</v>
      </c>
      <c r="F10" s="47"/>
    </row>
    <row r="11" spans="3:6">
      <c r="C11" s="46">
        <f t="shared" si="0"/>
        <v>36646</v>
      </c>
      <c r="D11" s="46">
        <v>36951</v>
      </c>
      <c r="E11" s="47">
        <v>0.11</v>
      </c>
      <c r="F11" s="47"/>
    </row>
    <row r="12" spans="3:6">
      <c r="C12" s="46">
        <f t="shared" si="0"/>
        <v>37011</v>
      </c>
      <c r="D12" s="46">
        <v>37316</v>
      </c>
      <c r="E12" s="47">
        <v>9.5000000000000001E-2</v>
      </c>
      <c r="F12" s="47"/>
    </row>
    <row r="13" spans="3:6">
      <c r="C13" s="46">
        <f t="shared" si="0"/>
        <v>37376</v>
      </c>
      <c r="D13" s="46">
        <v>37681</v>
      </c>
      <c r="E13" s="47">
        <v>0.09</v>
      </c>
      <c r="F13" s="47"/>
    </row>
    <row r="14" spans="3:6">
      <c r="C14" s="46">
        <f t="shared" si="0"/>
        <v>37741</v>
      </c>
      <c r="D14" s="46">
        <v>40848</v>
      </c>
      <c r="E14" s="47">
        <v>0.08</v>
      </c>
      <c r="F14" s="47"/>
    </row>
    <row r="15" spans="3:6">
      <c r="C15" s="46">
        <f t="shared" si="0"/>
        <v>40908</v>
      </c>
      <c r="D15" s="46">
        <v>40969</v>
      </c>
      <c r="E15" s="47">
        <v>8.5999999999999993E-2</v>
      </c>
      <c r="F15" s="47"/>
    </row>
    <row r="16" spans="3:6">
      <c r="C16" s="46">
        <f t="shared" si="0"/>
        <v>41029</v>
      </c>
      <c r="D16" s="46">
        <v>41334</v>
      </c>
      <c r="E16" s="47">
        <v>8.7999999999999995E-2</v>
      </c>
      <c r="F16" s="47"/>
    </row>
    <row r="17" spans="3:6">
      <c r="C17" s="46">
        <f t="shared" si="0"/>
        <v>41394</v>
      </c>
      <c r="D17" s="46">
        <v>42614</v>
      </c>
      <c r="E17" s="47">
        <v>8.6999999999999994E-2</v>
      </c>
      <c r="F17" s="47"/>
    </row>
    <row r="18" spans="3:6">
      <c r="C18" s="46">
        <f t="shared" si="0"/>
        <v>42674</v>
      </c>
      <c r="D18" s="46">
        <v>42795</v>
      </c>
      <c r="E18" s="47">
        <v>8.1000000000000003E-2</v>
      </c>
      <c r="F18" s="47"/>
    </row>
    <row r="19" spans="3:6">
      <c r="C19" s="46">
        <f t="shared" si="0"/>
        <v>42855</v>
      </c>
      <c r="D19" s="46">
        <v>42887</v>
      </c>
      <c r="E19" s="47">
        <v>0.08</v>
      </c>
      <c r="F19" s="47"/>
    </row>
    <row r="20" spans="3:6">
      <c r="C20" s="46">
        <f t="shared" si="0"/>
        <v>42947</v>
      </c>
      <c r="D20" s="46">
        <v>43070</v>
      </c>
      <c r="E20" s="47">
        <v>7.9000000000000001E-2</v>
      </c>
      <c r="F20" s="47"/>
    </row>
    <row r="21" spans="3:6">
      <c r="C21" s="46">
        <f t="shared" si="0"/>
        <v>43131</v>
      </c>
      <c r="D21" s="46">
        <v>43344</v>
      </c>
      <c r="E21" s="47">
        <v>7.8E-2</v>
      </c>
      <c r="F21" s="47"/>
    </row>
    <row r="22" spans="3:6">
      <c r="C22" s="46">
        <f t="shared" si="0"/>
        <v>43404</v>
      </c>
      <c r="D22" s="46">
        <v>43617</v>
      </c>
      <c r="E22" s="47">
        <v>7.5999999999999998E-2</v>
      </c>
      <c r="F22" s="47"/>
    </row>
    <row r="23" spans="3:6">
      <c r="C23" s="46">
        <f t="shared" si="0"/>
        <v>43677</v>
      </c>
      <c r="D23" s="46">
        <v>43891</v>
      </c>
      <c r="E23" s="47">
        <v>0.08</v>
      </c>
      <c r="F23" s="47"/>
    </row>
    <row r="24" spans="3:6">
      <c r="C24" s="46">
        <f t="shared" si="0"/>
        <v>43951</v>
      </c>
      <c r="D24" s="46">
        <v>44531</v>
      </c>
      <c r="E24" s="47">
        <v>7.9000000000000001E-2</v>
      </c>
      <c r="F24" s="47"/>
    </row>
    <row r="25" spans="3:6">
      <c r="C25" s="46">
        <f t="shared" si="0"/>
        <v>44592</v>
      </c>
      <c r="D25" s="45"/>
      <c r="E25" s="47">
        <v>7.0999999999999994E-2</v>
      </c>
      <c r="F25" s="47"/>
    </row>
    <row r="26" spans="3:6">
      <c r="C26" s="45"/>
      <c r="D26" s="45"/>
      <c r="E26" s="45"/>
      <c r="F26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Sheet4 (2)</vt:lpstr>
      <vt:lpstr>main</vt:lpstr>
      <vt:lpstr>utility</vt:lpstr>
      <vt:lpstr>Sheet3</vt:lpstr>
      <vt:lpstr>Sheet2</vt:lpstr>
      <vt:lpstr>da rt</vt:lpstr>
      <vt:lpstr>Sheet1</vt:lpstr>
      <vt:lpstr>gpf rate</vt:lpstr>
      <vt:lpstr>'Sheet4 (2)'!Print_Area</vt:lpstr>
      <vt:lpstr>'Sheet4 (2)'!Print_Titles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2023-03-31T17:30:48Z</dcterms:modified>
</cp:coreProperties>
</file>